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4" activeTab="0"/>
  </bookViews>
  <sheets>
    <sheet name="Planilha Orçamentária" sheetId="1" r:id="rId1"/>
    <sheet name="Composições" sheetId="2" r:id="rId2"/>
    <sheet name="Cálculo do BDI" sheetId="3" r:id="rId3"/>
    <sheet name="Cronograma Físico - Financeiro" sheetId="4" r:id="rId4"/>
  </sheets>
  <definedNames>
    <definedName name="_xlnm.Print_Area" localSheetId="3">'Cronograma Físico - Financeiro'!$A$1:$U$56</definedName>
    <definedName name="_xlnm.Print_Area" localSheetId="0">'Planilha Orçamentária'!$A$1:$I$54</definedName>
    <definedName name="_xlnm.Print_Titles" localSheetId="0">'Planilha Orçamentária'!$1:$5</definedName>
  </definedNames>
  <calcPr fullCalcOnLoad="1"/>
</workbook>
</file>

<file path=xl/sharedStrings.xml><?xml version="1.0" encoding="utf-8"?>
<sst xmlns="http://schemas.openxmlformats.org/spreadsheetml/2006/main" count="789" uniqueCount="288">
  <si>
    <t>ITEM</t>
  </si>
  <si>
    <t>DESCRIÇÃO</t>
  </si>
  <si>
    <t>CÁLCULOS ORÇAMENTAIS</t>
  </si>
  <si>
    <t>QTD.</t>
  </si>
  <si>
    <t>TOTAL</t>
  </si>
  <si>
    <t>1.1</t>
  </si>
  <si>
    <t>m³</t>
  </si>
  <si>
    <t>2.3</t>
  </si>
  <si>
    <t>2.4</t>
  </si>
  <si>
    <t>2.5</t>
  </si>
  <si>
    <t>UNID</t>
  </si>
  <si>
    <t>Total do Item</t>
  </si>
  <si>
    <t>DEMSUR - DEPARTAMENTO MUNICIPAL DE SANEAMENTO URBANO</t>
  </si>
  <si>
    <t xml:space="preserve">ORÇAMENTO: </t>
  </si>
  <si>
    <t xml:space="preserve">LOCAL: </t>
  </si>
  <si>
    <t>PROJETO:</t>
  </si>
  <si>
    <t>MURIAÉ - MG</t>
  </si>
  <si>
    <t>SETOR TÉCNICO DEMSUR</t>
  </si>
  <si>
    <t>SERVIÇOS PRELIMINARES</t>
  </si>
  <si>
    <t>m</t>
  </si>
  <si>
    <t>m³xkm</t>
  </si>
  <si>
    <t>Carga e descarga de material para bota fora utilizando caminhão basculante e pá carregadeira sobre pneus</t>
  </si>
  <si>
    <t>CRONOGRAMA FÍSICO-FINANCEIRO</t>
  </si>
  <si>
    <t>Físico %</t>
  </si>
  <si>
    <t>Financeiro</t>
  </si>
  <si>
    <t>Item</t>
  </si>
  <si>
    <t>Etapas/ Descrição</t>
  </si>
  <si>
    <t>Físico/ Financeiro</t>
  </si>
  <si>
    <t>Total Etapas</t>
  </si>
  <si>
    <t xml:space="preserve">VALOR DA OBRA: </t>
  </si>
  <si>
    <t xml:space="preserve">                                   DEMSUR - DEPARTAMENTO MUNICIPAL DE SANEAMENTO URBANO</t>
  </si>
  <si>
    <t>2.2</t>
  </si>
  <si>
    <t>1.2</t>
  </si>
  <si>
    <t>hora</t>
  </si>
  <si>
    <t>unid.</t>
  </si>
  <si>
    <t>1.3</t>
  </si>
  <si>
    <t>m²</t>
  </si>
  <si>
    <t>kg</t>
  </si>
  <si>
    <t>4.1</t>
  </si>
  <si>
    <t>SERVIÇOS COMPLEMENTARES</t>
  </si>
  <si>
    <t>Limpeza final da obra</t>
  </si>
  <si>
    <t>m³ x km</t>
  </si>
  <si>
    <t>Descrição</t>
  </si>
  <si>
    <t>Quant.</t>
  </si>
  <si>
    <t>Composição</t>
  </si>
  <si>
    <t>Cálculo do BDI</t>
  </si>
  <si>
    <t>Sigla</t>
  </si>
  <si>
    <t>Percentual</t>
  </si>
  <si>
    <t>1.4</t>
  </si>
  <si>
    <t>1.5</t>
  </si>
  <si>
    <t>1.</t>
  </si>
  <si>
    <t>G</t>
  </si>
  <si>
    <t>R</t>
  </si>
  <si>
    <t>DF</t>
  </si>
  <si>
    <t>Custos Indiretos</t>
  </si>
  <si>
    <t>Despesas financeiras</t>
  </si>
  <si>
    <t>2.</t>
  </si>
  <si>
    <t>Tributos</t>
  </si>
  <si>
    <t>2.1.</t>
  </si>
  <si>
    <t>2.2.</t>
  </si>
  <si>
    <t>2.3.</t>
  </si>
  <si>
    <t>COFINS</t>
  </si>
  <si>
    <t>PIS</t>
  </si>
  <si>
    <t>3.</t>
  </si>
  <si>
    <t>Lucro</t>
  </si>
  <si>
    <t>3.1.</t>
  </si>
  <si>
    <t>ISS para o municipio de Muriaé</t>
  </si>
  <si>
    <t>1º MÊS</t>
  </si>
  <si>
    <t>2º MÊS</t>
  </si>
  <si>
    <t>BDI=</t>
  </si>
  <si>
    <t>AC=</t>
  </si>
  <si>
    <t>Tx Risco=</t>
  </si>
  <si>
    <t>Despesa</t>
  </si>
  <si>
    <t>Tx comer.</t>
  </si>
  <si>
    <t>BDI Calculado:</t>
  </si>
  <si>
    <t>Placa de obra em chapa de aço galvanizado</t>
  </si>
  <si>
    <t>Codigo</t>
  </si>
  <si>
    <t>unidade</t>
  </si>
  <si>
    <t>Unit.</t>
  </si>
  <si>
    <t>Total</t>
  </si>
  <si>
    <t xml:space="preserve">un </t>
  </si>
  <si>
    <t>Escavação manual de vala em material de 1ª categoria até 1,50m excluindo escoramento / esgotamento</t>
  </si>
  <si>
    <t>Assentamento de tampão de ferro fundido DN-600mm</t>
  </si>
  <si>
    <t>Transporte local com caminhão basculante 6m³, rodovia pavimentada (distância maior do que 4 km)</t>
  </si>
  <si>
    <t>0,9 x 0,8 interno</t>
  </si>
  <si>
    <t>Grelha F.F. 30x90 cm, 135 kg, p/ caixa ralo com assentamento de argamassa cimento / areia 1:4 - fornecimento e instalação</t>
  </si>
  <si>
    <t>Calceteiro</t>
  </si>
  <si>
    <t>2.1</t>
  </si>
  <si>
    <t>3.1</t>
  </si>
  <si>
    <t>3.2</t>
  </si>
  <si>
    <t>3.3</t>
  </si>
  <si>
    <t>Seguros e garantia</t>
  </si>
  <si>
    <r>
      <t xml:space="preserve">Risco: </t>
    </r>
    <r>
      <rPr>
        <i/>
        <sz val="11"/>
        <color indexed="8"/>
        <rFont val="Calibri"/>
        <family val="2"/>
      </rPr>
      <t>Obras simples, em condições favoráveis, com execução em ritmo adequado</t>
    </r>
  </si>
  <si>
    <t>AC</t>
  </si>
  <si>
    <t>TC</t>
  </si>
  <si>
    <t>TP</t>
  </si>
  <si>
    <t>TI</t>
  </si>
  <si>
    <t>L</t>
  </si>
  <si>
    <t>Isolamento de obra com tela plástica com malha de 5mm e estrutura de madeira pontaleteada</t>
  </si>
  <si>
    <t>3º MÊS</t>
  </si>
  <si>
    <t>4º MÊS</t>
  </si>
  <si>
    <t>5º MÊS</t>
  </si>
  <si>
    <t>6º MÊS</t>
  </si>
  <si>
    <t>Boca de lobo Padrão DEMSUR em bloco de concreto cheio de concreto 14x19x39cm, com grelha de ferro fundido articulada 135kg, medidas externas: 140x75x158cm (largura, comprimento e altura).</t>
  </si>
  <si>
    <t>Concreto Fck=20 Mpa para protetor, apoio do tampão de ferro fundido e piso do PV - inclusive lançamento</t>
  </si>
  <si>
    <t>FONTE</t>
  </si>
  <si>
    <t>Concreto Fck=20 Mpa para paredes do poço de visita - inclusive lançamento</t>
  </si>
  <si>
    <t>Serviços preliminares</t>
  </si>
  <si>
    <t>Serviços complementares</t>
  </si>
  <si>
    <t>Servente</t>
  </si>
  <si>
    <t>Regularização de fundo de vala com soquete. Fonte: TCPO infraestrutura urbana Pag. 37 - 51.004.000001.SER</t>
  </si>
  <si>
    <t>Pedreiro</t>
  </si>
  <si>
    <t>Carga e descarga de material para bota fora utilizando caminhão basculante e pá carregadeira sobre pneus.</t>
  </si>
  <si>
    <t>Transporte local caminhão basculante 6m³, rodovia pavimentada (distância superior a 4 km).</t>
  </si>
  <si>
    <t>Reaterro e compactação manual de vala por apiloamento com soquete Pag. 37 - 51.004.000002.SER</t>
  </si>
  <si>
    <t>Escavação Mecanizada de vala com profundidade até 1,50m, com retroescavadeira (capacidade da caçamba da retro: 0,26m³ / potência: 88 HP), Largura de 0,80 a 1,50m em solo de 1A categoria, em vias urbanas.</t>
  </si>
  <si>
    <t>Escavação Mecanizada de vala com profundidade maior que 1,50m até 3,00m, com escavadeira hidráulica (capacidade da caçamba: 0,8m³ / potência: 111 HP), Largura de 1,50 a 2,50m em solo de 1A categoria, em vias urbanas.</t>
  </si>
  <si>
    <t>Escavação Mecanizada de vala com profundidade maior que 3,00m até 4,50m, com escavadeira hidráulica (capacidade da caçamba: 1,2m³ / potência: 155 HP), Largura de 1,50 a 2,50m em solo de 1A categoria, em vias urbanas.</t>
  </si>
  <si>
    <t>== escavação*4</t>
  </si>
  <si>
    <t>== escavação</t>
  </si>
  <si>
    <t>== largura externa ** 2</t>
  </si>
  <si>
    <t>== ((Largura externa + 0,15 + 0,15)**2) * 0,2 - (Área do tampão * 0,2) + (largura externa**2) * 0,2</t>
  </si>
  <si>
    <t>== 4 * (largura externa * altura interna) + 4 * (largura interna * altura interna) - 4 * ( área ocupada pela ponta/bolsa do tubo)</t>
  </si>
  <si>
    <t>== 2*esp.parede * Largura externa * altura externa</t>
  </si>
  <si>
    <t>== 2*esp.parede * Comp. externa * altura externa</t>
  </si>
  <si>
    <t>== largura externa * comp. externo</t>
  </si>
  <si>
    <t>== ((Largura externa + 0,15 + 0,15)*(comp. externo + 0,15 + 0,15)) * 0,2 - (Área do tampão * 0,2) + (Largura externa)*(comp. externo) * 0,2</t>
  </si>
  <si>
    <t>== 4 * (largura externa * altura interna) + 4 * (Comp. interno * altura interna) - 8 * ( área ocupada pela ponta/bolsa do tubo)</t>
  </si>
  <si>
    <t>== 2 * largura externa * esp. Parede * altura interna + 2 * Comp. interno * esp. Parede * altura interna - 4 * área do tubo * 0,2</t>
  </si>
  <si>
    <t>== 2 * largura externa * esp. Parede * altura interna + 2 * largura interna * esp. Parede * altura interna - 2 * área do tubo * 0,2</t>
  </si>
  <si>
    <t>Concreto Fck=20 Mpa para laje e piso de concreto armado - inclusive lançamento</t>
  </si>
  <si>
    <t>== ((Largura externa + 0,15 + 0,15)*(comp. externo + 0,15 + 0,15) * 0,1 - (Área do tampão * 0,1)) * 70 kg/m³</t>
  </si>
  <si>
    <t>== (((Largura externa + 0,15 + 0,15)**2) * 0,1 - (Área do tampão * 0,1)) * 70 kg/m³</t>
  </si>
  <si>
    <t>Enrocamento manual, com arrumação do material</t>
  </si>
  <si>
    <t>Concreto Fck=20 Mpa para piso e viga de concreto armado - inclusive lançamento</t>
  </si>
  <si>
    <t>Concreto Fck=20 Mpa para paredes da ala de concreto armado - inclusive lançamento</t>
  </si>
  <si>
    <t>7º MÊS</t>
  </si>
  <si>
    <t>8º MÊS</t>
  </si>
  <si>
    <t>2.7</t>
  </si>
  <si>
    <t>Poço de visita para rede de drenagem DN-600mm padrão DEMSUR, medidas externas 140x140x167cm (largura, comprimento e altura), parede de concreto fck=20MPa e assentamento de tampa de ferro fundido anti-ruido.</t>
  </si>
  <si>
    <t>Contrapiso/lastro de concreto não estrutural, E=5cm, preparo com betoneira (Incluso lançamento e adensamento)</t>
  </si>
  <si>
    <t>Montagem e desmontagem de fôrma de pilares retangulares e estruturas similares com área média das seções maior que 0,25 m², pé-direito simples, em chapa de madeira compensada resinada, 6 utilizações</t>
  </si>
  <si>
    <t>Tampão de ferro fundido articulado anti-ruido DN-600mm, carga máx 40.000 kg</t>
  </si>
  <si>
    <t>Concreto fck = 15mpa, traço 1:3,4:3,5 (cimento/ areia média/ brita 1) - preparo mecânico com betoneira 400 l</t>
  </si>
  <si>
    <t>Concreto Fck=20 Mpa para cantoneira, topo da alvenaria e piso da BL - inclusive lançamento</t>
  </si>
  <si>
    <t>Aço CA 50, diam. 10,0mm, fornecimento / corte / dobra / colocação / perda de 10%</t>
  </si>
  <si>
    <t>Montagem e desmontagem de fôrma de pilares retangulares e estruturas similares com área média das seções maior que 0,25 m², pé-direito simples, em chapa de madeira compensada resinada, 6 utilizações, incluindo escoramento</t>
  </si>
  <si>
    <t>Montagem e desmontagem de fôrma de laje maciça com área média menor ou igual a 20 m², pé-direito simples, em madeira serrada, 4 utilizações, inclusive escoramento</t>
  </si>
  <si>
    <t>Montagem e desmontagem de fôrma de pilares retangulares e estruturas similares com área média das seções maior que 0,25 m², pé-direito simples, em chapa de madeira compensada resinada, 6 utilizações, inclusive escoramento</t>
  </si>
  <si>
    <t>Alvenaria de vedação de blocos vazados de concreto de 14x19x39cm (espessura de 14cm) de paredes com área líquida menor do que 6 m² sem vãos e argamassa de assentamento com preparo manual em betoneira</t>
  </si>
  <si>
    <t>Lançamento/aplicação manual de concreto</t>
  </si>
  <si>
    <t>Execução de alvenaria em bloco de concreto 15x20x40 preenchidos com concreto 15MPa - m²</t>
  </si>
  <si>
    <t>Execução de alvenaria em bloco de concreto 15x20x40 preenchidos com concreto 15MPa para paredes de poço de visita de drenagem pluvial</t>
  </si>
  <si>
    <t>Emboço ou massa única em argamassa traço 1:2:8, preparo manual, aplicado manualmente (sem presença de vãos), espessura mínima de 25mm</t>
  </si>
  <si>
    <t>Preparo de fundo de vala, em local com nível alto de interferência</t>
  </si>
  <si>
    <t>Transporte com caminhão basculante 6 m3 em rodovia pavimentada ( para distâncias superiores a 4 km) - Transporte da areia</t>
  </si>
  <si>
    <t>Serra para corte de concreto e asfalto - 10 kW</t>
  </si>
  <si>
    <t>Serragem de juntas em pavimento de CBUQ. Fonte: SICRO Pag. 4223 - Item 4011537 - Unidade: m linear.</t>
  </si>
  <si>
    <t>Execução de almoxarifado em canteiro de obra em chapa de madeira compensada, incluso prateleiras, piso em lastro de concreto, pinturas, instalações elétricas e forro de PVC.</t>
  </si>
  <si>
    <t>unid</t>
  </si>
  <si>
    <t>Luva PVC soldavel, DN 20 mm ou DN 25 mm, para agua fria predial</t>
  </si>
  <si>
    <t>Tubo PVC soldavel, DN 20 mm ou DN 25 mm, agua fria (nbr-5648)</t>
  </si>
  <si>
    <t>Recuperação e Interligacao de tubo de espera e da rede de distribuicao para ramais de 1/2" e 3/4" de agua potável - Unidade: m linear - Baseado em historico do DEMSUR de ligações de ramais em area urbana</t>
  </si>
  <si>
    <t>2.6</t>
  </si>
  <si>
    <t>2.8</t>
  </si>
  <si>
    <t>2.10</t>
  </si>
  <si>
    <t>DEMSUR - Departamento Municipal de Saneamento Urbano</t>
  </si>
  <si>
    <t xml:space="preserve">Poço de visita para rede de drenagem DN-1000mm, padrão DEMSUR, medidas externas 180x180x257cm (largura, comprimento e altura média), parede de concreto fck=20MPa e assentamento de tampão de ferro fundido anti-ruido. </t>
  </si>
  <si>
    <t>Poço de visita para rede dupla de drenagem DN-1200mm, padrão DEMSUR, medidas externas 455x190x364cm (largura, comprimento e altura), parede de concreto fck=20MPa e assentamento de tampão de ferro fundido anti-ruido.</t>
  </si>
  <si>
    <t>Poço de visita para rede de drenagem DN-1500mm, padrão DEMSUR, medidas externas 230x230x319mm (largura, comprimento e altura média), parede de concreto fck=20MPa e assentamento de tampão de ferro fundido anti-ruido.</t>
  </si>
  <si>
    <t>Ala de concreto armado para lançamento das águas pluviais da rede dupla de concreto armado DN-1200mm</t>
  </si>
  <si>
    <t>Poço de visita para rede dupla de drenagem DN-1200mm em ângulo de 90° entre montante e jusante, padrão DEMSUR, medidas externas 455x190x364cm (largura, comprimento e altura), parede de concreto fck=20MPa e assentamento de tampão de ferro fundido anti-ruido.</t>
  </si>
  <si>
    <t>Poço de visita para transição de rede simples DN-1500mm para rede dupla de concreto armado DN-1200mm</t>
  </si>
  <si>
    <t xml:space="preserve">Poço de visita para rede de drenagem DN-1200mm, padrão DEMSUR, medidas externas 200x200x299cm (largura, comprimento e altura média), parede de concreto fck=20MPa e assentamento de tampão de ferro fundido anti-ruido. </t>
  </si>
  <si>
    <t>Poço de visita para rede de drenagem DN-900mm padrão DEMSUR, medidas externas 160x160x230cm (largura, comprimento e altura), parede de concreto fck=20MPa e assentamento de tampa de ferro fundido anti-ruido.</t>
  </si>
  <si>
    <t>SICRO-E9591-Setembro17</t>
  </si>
  <si>
    <t>DATA: Abril/2018</t>
  </si>
  <si>
    <t xml:space="preserve"> </t>
  </si>
  <si>
    <t>SETOP-IIO-SAN-005</t>
  </si>
  <si>
    <t>Banheiro químico 110 x 120 x 230 cm com manutenção</t>
  </si>
  <si>
    <t>EXECUÇÃO DE TUBOS</t>
  </si>
  <si>
    <t>POÇOS DE VISITA</t>
  </si>
  <si>
    <t>Carga, manobras e descarga de areia, brita, pedra de mão e solos com caminhão basculante 6m³ (descarga livre)</t>
  </si>
  <si>
    <t>Reaterro mecanizado de vala com escavadeira hidráulica (capacidade da caçamba: 0,8m³ / Potência: 111 hp), largura até 1,5m, profundidade de 1,5 a 3,0m com solo (sem substituição) de 1ª categoria em locais com alto nível de interferência.</t>
  </si>
  <si>
    <t>MOVIMENTO DE TERRA</t>
  </si>
  <si>
    <t>Execução de rede de esgoto na Avenida Amaro Goulart - João XXIII</t>
  </si>
  <si>
    <t>Referência do orçamento: Fevereiro 2018</t>
  </si>
  <si>
    <t>AVENIDA AMARO GOULART - BAIRRO: JOÃO XXIII</t>
  </si>
  <si>
    <t>FONTE: SINAPI /SETOP</t>
  </si>
  <si>
    <t>5.1</t>
  </si>
  <si>
    <t>5.2</t>
  </si>
  <si>
    <t>5.3</t>
  </si>
  <si>
    <t>5.4</t>
  </si>
  <si>
    <t>OBRA: Execução de rede de esgoto</t>
  </si>
  <si>
    <t>LOCAL: Avenida Amaro Goulart - João XXIII</t>
  </si>
  <si>
    <t>Movimento de terra</t>
  </si>
  <si>
    <t>Execução de tubos</t>
  </si>
  <si>
    <t>Poços de visita</t>
  </si>
  <si>
    <t>mês</t>
  </si>
  <si>
    <t>Poço de visita para rede de esg. sanit., em aneis de concreto de diâmetro = 1,00m e tampa de ferro fundido de diâmetro = 0,60m, prof = 350cm, excluindo tampao ferro fundido, anéis de concreto e laje de transição.</t>
  </si>
  <si>
    <t>Caiação int ou ext sobre revestimento liso c/adoção de fixados com duas demãos</t>
  </si>
  <si>
    <t>Argamassa traço 1:4 (Cimento e areia grossa) para chapisco convencional, preparo mecânico com betoneira 400 L.</t>
  </si>
  <si>
    <t>Concreto magro para lastro, traço 1:4,5:4,5 (cimento/areia média/brita 1) - preparo mecânico com betoneira 400 L.</t>
  </si>
  <si>
    <t>Transporte local caminhão basculante 6m³, rodovia pavimentada (distância superior a 4 km) (para descarte de solo)</t>
  </si>
  <si>
    <t>Assentamento de tubo de pvc corrugado de dupla parede para rede coletora de esgoto, DN 200 MM, junta elástica, instalado em local com nível alto de interferências.</t>
  </si>
  <si>
    <t>Recuperação e Interligação de tubo de espera e da rede coletora de esgoto de 200mm</t>
  </si>
  <si>
    <t>Recuperação e Interligação de tubo de espera e da rede coletora de esgoto de 200mm de esgoto - Unidade: m linear - Baseado em historico do DEMSUR de ligações de ramais em area urbana</t>
  </si>
  <si>
    <t>SERVENTE COM ENCARGOS COMPLEMENTARES</t>
  </si>
  <si>
    <t>CHI</t>
  </si>
  <si>
    <t>CHP</t>
  </si>
  <si>
    <t>HORA</t>
  </si>
  <si>
    <t>Aterro mecanizado de vala com escavadeira hidráulica (capacidade da caçamba: 0,8 m³ / potência: 111 hp), largura de 1,5 a 2,5 m, profundidade de 1,5 m A 3,0 m, com areia para aterro, inclusive caminhão pipa e compactador de solos a percussão</t>
  </si>
  <si>
    <t>Demolição parcial de pavimento asfáltico, de forma mecanizada, sem reaproveitamento.</t>
  </si>
  <si>
    <t>SINAPI-93208</t>
  </si>
  <si>
    <t>SINAPI-74209/001</t>
  </si>
  <si>
    <t>SINAPI-85323</t>
  </si>
  <si>
    <t>SINAPI-90100</t>
  </si>
  <si>
    <t>SINAPI-90085</t>
  </si>
  <si>
    <t>SINAPI-90087</t>
  </si>
  <si>
    <t>SINAPI-72888</t>
  </si>
  <si>
    <t>SINAPI-94100</t>
  </si>
  <si>
    <t>SINAPI-4741</t>
  </si>
  <si>
    <t>SINAPI-95302</t>
  </si>
  <si>
    <t xml:space="preserve">SINAPI-93361 </t>
  </si>
  <si>
    <t>SINAPI-73877/001</t>
  </si>
  <si>
    <t>SINAPI-73877/002</t>
  </si>
  <si>
    <t>SINAPI-90756</t>
  </si>
  <si>
    <t>SINAPI-85424</t>
  </si>
  <si>
    <t>SINAPI-9537</t>
  </si>
  <si>
    <t>SINAPI-74010/001</t>
  </si>
  <si>
    <t>SINAPI-97636</t>
  </si>
  <si>
    <t>SINAPI-91534</t>
  </si>
  <si>
    <t>SINAPI-91533</t>
  </si>
  <si>
    <t>SINAPI-88316</t>
  </si>
  <si>
    <t>SINAPI-5903</t>
  </si>
  <si>
    <t>SINAPI-5901</t>
  </si>
  <si>
    <t>SINAPI-5632</t>
  </si>
  <si>
    <t>SINAPI-5631</t>
  </si>
  <si>
    <t>SINAPI-94962</t>
  </si>
  <si>
    <t>SINAPI-87449</t>
  </si>
  <si>
    <t>SINAPI-94963</t>
  </si>
  <si>
    <t>SINAPI-74157/004</t>
  </si>
  <si>
    <t>SINAPI-93358</t>
  </si>
  <si>
    <t>SINAPI-95241</t>
  </si>
  <si>
    <t>SINAPI-(94964 + 74157/004)</t>
  </si>
  <si>
    <t>SINAPI-92794</t>
  </si>
  <si>
    <t>SINAPI-92423</t>
  </si>
  <si>
    <t>SINAPI-21090</t>
  </si>
  <si>
    <t>SINAPI-73607</t>
  </si>
  <si>
    <t>SINAPI-73698</t>
  </si>
  <si>
    <t>SINAPI-92485</t>
  </si>
  <si>
    <t>SINAPI-87794</t>
  </si>
  <si>
    <t>SINAPI-83716</t>
  </si>
  <si>
    <t>SINAPI-370</t>
  </si>
  <si>
    <t>SINAPI-88260</t>
  </si>
  <si>
    <t>SINAPI-88309</t>
  </si>
  <si>
    <t>SINAPI-9867/9868</t>
  </si>
  <si>
    <t>SINAPI-3861/3904</t>
  </si>
  <si>
    <t>SINAPI-73445</t>
  </si>
  <si>
    <t>SINAPI-87316</t>
  </si>
  <si>
    <t>Escoramento de valas com pranchões metálicos - área cravada (com pranchões metálicos e quadros utilizando longarinas de madeira de 3x5", inclusive posterior retirada)</t>
  </si>
  <si>
    <t>Escoramento de valas com pranchões metálicos - área não cravada (com pranchões metálicos e quadros utilizando longarinas de madeira de 3x5", inclusive posterior retirada)</t>
  </si>
  <si>
    <t>Pó de pedra (Posto pedreira/fornecedor, sem frete)</t>
  </si>
  <si>
    <t>Locação e nivelamento de emissário/rede coletora com auxílio de equipamento topográfico</t>
  </si>
  <si>
    <t>CAMINHÃO PIPA 10.000 L TRUCADO, PESO BRUTO TOTAL 23.000 KG, CARGA ÚTIL MÁXIMA 15.935 KG, DISTÂNCIA ENTRE EIXOS 4,8 M, POTÊNCIA 230 CV, INCLUSIVE TANQUE DE AÇO PARA TRANSPORTE DE ÁGUA - CHP DIURNO.</t>
  </si>
  <si>
    <t>ESCAVADEIRA HIDRÁULICA SOBRE ESTEIRAS, CAÇAMBA 0,80 M3, PESO OPERACIONAL 17 T, POTENCIA BRUTA 111 HP - CHP DIURNO.</t>
  </si>
  <si>
    <t>ESCAVADEIRA HIDRÁULICA SOBRE ESTEIRAS, CAÇAMBA 0,80 M3, PESO OPERACIONAL 17 T, POTENCIA BRUTA 111 HP - CHI DIURNO.</t>
  </si>
  <si>
    <t xml:space="preserve">CAMINHÃO PIPA 10.000 L TRUCADO, PESO BRUTO TOTAL 23.000 KG, CARGA ÚTIL MÁXIMA 15.935 KG, DISTÂNCIA ENTRE EIXOS 4,8 M, POTÊNCIA 230 CV, INCLUSIVE TANQUE DE AÇO PARA TRANSPORTE DE ÁGUA - CHI DIURNO. </t>
  </si>
  <si>
    <t>COMPACTADOR DE SOLOS DE PERCUSSÃO (SOQUETE) COM MOTOR A GASOLINA 4 TEMPOS, POTÊNCIA 4 CV - CHP DIURNO.</t>
  </si>
  <si>
    <t xml:space="preserve">COMPACTADOR DE SOLOS DE PERCUSSÃO (SOQUETE) COM MOTOR A GASOLINA 4 TEMPOS, POTÊNCIA 4 CV - CHI DIURNO. </t>
  </si>
  <si>
    <t>Poço de visita para rede de esg. sanit., em anéis de concreto de diâmetro = 1,00m e tampa de ferro fundido de diâmetro = 0,60m, prof = 350cm, excluindo tampão ferro fundido, anéis de concreto, laje de transição e protetor (a serem fornecidos pelo DEMSUR).</t>
  </si>
  <si>
    <t>Pé de moleque, retirada e reassentamento sobre coxim de areia / pó de pedra</t>
  </si>
  <si>
    <t>5.6</t>
  </si>
  <si>
    <t>2.9</t>
  </si>
  <si>
    <t>2.11</t>
  </si>
  <si>
    <t>Areia média lavada / pó de pedra</t>
  </si>
  <si>
    <t>PRAZO DA OBRA: 60 dias</t>
  </si>
  <si>
    <t xml:space="preserve">Administração Central </t>
  </si>
  <si>
    <t>BDI</t>
  </si>
  <si>
    <t>CUSTO C/ BDI</t>
  </si>
  <si>
    <t>CUSTO S/ BDI</t>
  </si>
  <si>
    <t>Data: 17/04/2018</t>
  </si>
  <si>
    <t>Marcos Vinícius Rodrigues Marum</t>
  </si>
  <si>
    <t>CREA - RJ 2018103195/D</t>
  </si>
  <si>
    <t>Eng. Civil Marcos Vinícius Rodrigues Marum
CREA RJ - 2018103195/D</t>
  </si>
  <si>
    <t xml:space="preserve">                                                        TOTAL DA OBRA COM BDI:</t>
  </si>
  <si>
    <t>SETOP-MOB-DES-020</t>
  </si>
  <si>
    <t>Mobilização e desmobilização para obras executadas em centros urbanos ou próximos de centros urbanos com valores até R$ 1.000.000  - 0,5% do total do custo da obra, excluso custo deste item.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</si>
</sst>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_(* #,##0.00_);_(* \(#,##0.00\);_(* \-??_);_(@_)"/>
    <numFmt numFmtId="180" formatCode="&quot;R$&quot;#,##0.00"/>
    <numFmt numFmtId="181" formatCode="&quot;R$&quot;#,##0.00_);&quot;(R$&quot;#,##0.00\)"/>
    <numFmt numFmtId="182" formatCode="&quot;R$ &quot;#,##0.00"/>
    <numFmt numFmtId="183" formatCode="0.0"/>
    <numFmt numFmtId="184" formatCode="0.000"/>
    <numFmt numFmtId="185" formatCode="0.0%"/>
    <numFmt numFmtId="186" formatCode="00"/>
    <numFmt numFmtId="187" formatCode="0.0000"/>
    <numFmt numFmtId="188" formatCode="#,##0.000"/>
    <numFmt numFmtId="189" formatCode="00000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_-[$R$-416]* #,##0.00_-;\-[$R$-416]* #,##0.00_-;_-[$R$-416]* &quot;-&quot;??_-;_-@_-"/>
    <numFmt numFmtId="195" formatCode="_-&quot;R$&quot;\ * #,##0.0_-;\-&quot;R$&quot;\ * #,##0.0_-;_-&quot;R$&quot;\ * &quot;-&quot;??_-;_-@_-"/>
    <numFmt numFmtId="196" formatCode="_-&quot;R$&quot;\ * #,##0.000_-;\-&quot;R$&quot;\ * #,##0.000_-;_-&quot;R$&quot;\ * &quot;-&quot;??_-;_-@_-"/>
    <numFmt numFmtId="197" formatCode="_-&quot;R$&quot;\ * #,##0.0000_-;\-&quot;R$&quot;\ * #,##0.0000_-;_-&quot;R$&quot;\ 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9"/>
      <name val="Arial "/>
      <family val="0"/>
    </font>
    <font>
      <b/>
      <sz val="9"/>
      <name val="Arial "/>
      <family val="0"/>
    </font>
    <font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"/>
      <family val="0"/>
    </font>
    <font>
      <b/>
      <sz val="9"/>
      <color indexed="12"/>
      <name val="Arial "/>
      <family val="0"/>
    </font>
    <font>
      <sz val="9"/>
      <color indexed="12"/>
      <name val="Arial "/>
      <family val="0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"/>
      <family val="0"/>
    </font>
    <font>
      <b/>
      <sz val="9"/>
      <color rgb="FF0000FF"/>
      <name val="Arial "/>
      <family val="0"/>
    </font>
    <font>
      <sz val="9"/>
      <color rgb="FF0000FF"/>
      <name val="Arial "/>
      <family val="0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21" fillId="0" borderId="0">
      <alignment/>
      <protection/>
    </xf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/>
      <protection/>
    </xf>
    <xf numFmtId="10" fontId="1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" fontId="13" fillId="0" borderId="0" xfId="0" applyNumberFormat="1" applyFont="1" applyFill="1" applyBorder="1" applyAlignment="1">
      <alignment/>
    </xf>
    <xf numFmtId="2" fontId="8" fillId="0" borderId="0" xfId="52" applyNumberFormat="1" applyBorder="1">
      <alignment/>
      <protection/>
    </xf>
    <xf numFmtId="2" fontId="8" fillId="0" borderId="0" xfId="52" applyNumberFormat="1" applyFill="1" applyBorder="1" applyProtection="1">
      <alignment/>
      <protection/>
    </xf>
    <xf numFmtId="2" fontId="8" fillId="0" borderId="0" xfId="52" applyNumberFormat="1" applyFill="1" applyBorder="1">
      <alignment/>
      <protection/>
    </xf>
    <xf numFmtId="181" fontId="10" fillId="0" borderId="0" xfId="52" applyNumberFormat="1" applyFont="1" applyFill="1" applyBorder="1" applyProtection="1">
      <alignment/>
      <protection/>
    </xf>
    <xf numFmtId="2" fontId="8" fillId="0" borderId="0" xfId="52" applyNumberFormat="1" applyFill="1" applyBorder="1" applyAlignment="1">
      <alignment horizontal="center"/>
      <protection/>
    </xf>
    <xf numFmtId="4" fontId="16" fillId="0" borderId="0" xfId="52" applyNumberFormat="1" applyFont="1" applyFill="1" applyBorder="1">
      <alignment/>
      <protection/>
    </xf>
    <xf numFmtId="2" fontId="9" fillId="0" borderId="0" xfId="52" applyNumberFormat="1" applyFont="1" applyFill="1" applyBorder="1" applyProtection="1">
      <alignment/>
      <protection/>
    </xf>
    <xf numFmtId="4" fontId="15" fillId="0" borderId="0" xfId="52" applyNumberFormat="1" applyFont="1" applyFill="1" applyBorder="1">
      <alignment/>
      <protection/>
    </xf>
    <xf numFmtId="2" fontId="8" fillId="0" borderId="0" xfId="52" applyNumberFormat="1" applyBorder="1" applyAlignment="1" applyProtection="1">
      <alignment/>
      <protection locked="0"/>
    </xf>
    <xf numFmtId="2" fontId="8" fillId="0" borderId="0" xfId="52" applyNumberFormat="1">
      <alignment/>
      <protection/>
    </xf>
    <xf numFmtId="2" fontId="8" fillId="0" borderId="0" xfId="52" applyNumberFormat="1" applyAlignment="1">
      <alignment horizontal="center"/>
      <protection/>
    </xf>
    <xf numFmtId="4" fontId="8" fillId="0" borderId="0" xfId="52" applyNumberFormat="1" applyAlignment="1">
      <alignment/>
      <protection/>
    </xf>
    <xf numFmtId="2" fontId="8" fillId="0" borderId="0" xfId="52" applyNumberFormat="1" applyAlignment="1">
      <alignment/>
      <protection/>
    </xf>
    <xf numFmtId="2" fontId="14" fillId="0" borderId="0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8" fillId="0" borderId="0" xfId="52" applyNumberFormat="1" applyFont="1" applyFill="1" applyBorder="1" applyProtection="1">
      <alignment/>
      <protection/>
    </xf>
    <xf numFmtId="0" fontId="2" fillId="33" borderId="14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2" fontId="17" fillId="0" borderId="0" xfId="52" applyNumberFormat="1" applyFont="1" applyFill="1" applyBorder="1" applyProtection="1">
      <alignment/>
      <protection/>
    </xf>
    <xf numFmtId="2" fontId="18" fillId="0" borderId="0" xfId="52" applyNumberFormat="1" applyFont="1" applyFill="1" applyBorder="1" applyAlignment="1">
      <alignment horizontal="center"/>
      <protection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4" fontId="66" fillId="0" borderId="15" xfId="0" applyNumberFormat="1" applyFont="1" applyFill="1" applyBorder="1" applyAlignment="1">
      <alignment horizontal="center" vertical="center"/>
    </xf>
    <xf numFmtId="4" fontId="66" fillId="0" borderId="16" xfId="0" applyNumberFormat="1" applyFont="1" applyFill="1" applyBorder="1" applyAlignment="1">
      <alignment horizontal="center" vertical="center"/>
    </xf>
    <xf numFmtId="10" fontId="67" fillId="0" borderId="16" xfId="54" applyNumberFormat="1" applyFont="1" applyBorder="1" applyAlignment="1">
      <alignment horizontal="center"/>
    </xf>
    <xf numFmtId="44" fontId="68" fillId="0" borderId="15" xfId="47" applyFont="1" applyBorder="1" applyAlignment="1" applyProtection="1">
      <alignment horizontal="center"/>
      <protection/>
    </xf>
    <xf numFmtId="2" fontId="14" fillId="0" borderId="17" xfId="52" applyNumberFormat="1" applyFont="1" applyBorder="1" applyAlignment="1">
      <alignment horizontal="center" vertical="center" wrapText="1"/>
      <protection/>
    </xf>
    <xf numFmtId="2" fontId="14" fillId="0" borderId="17" xfId="52" applyNumberFormat="1" applyFont="1" applyBorder="1" applyAlignment="1">
      <alignment horizontal="center" vertical="center"/>
      <protection/>
    </xf>
    <xf numFmtId="4" fontId="66" fillId="0" borderId="18" xfId="0" applyNumberFormat="1" applyFont="1" applyFill="1" applyBorder="1" applyAlignment="1">
      <alignment horizontal="center" vertical="center"/>
    </xf>
    <xf numFmtId="2" fontId="8" fillId="0" borderId="0" xfId="52" applyNumberFormat="1" applyFont="1" applyFill="1" applyBorder="1">
      <alignment/>
      <protection/>
    </xf>
    <xf numFmtId="2" fontId="9" fillId="0" borderId="0" xfId="52" applyNumberFormat="1" applyFont="1" applyFill="1" applyBorder="1" applyAlignment="1">
      <alignment horizontal="center"/>
      <protection/>
    </xf>
    <xf numFmtId="2" fontId="8" fillId="0" borderId="0" xfId="52" applyNumberFormat="1" applyFont="1" applyFill="1" applyBorder="1" applyAlignment="1">
      <alignment horizontal="center"/>
      <protection/>
    </xf>
    <xf numFmtId="181" fontId="14" fillId="0" borderId="0" xfId="52" applyNumberFormat="1" applyFont="1" applyFill="1" applyBorder="1" applyProtection="1">
      <alignment/>
      <protection/>
    </xf>
    <xf numFmtId="0" fontId="8" fillId="0" borderId="0" xfId="0" applyFont="1" applyBorder="1" applyAlignment="1">
      <alignment vertical="center"/>
    </xf>
    <xf numFmtId="2" fontId="8" fillId="0" borderId="0" xfId="52" applyNumberFormat="1" applyFont="1" applyFill="1" applyBorder="1" applyAlignment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vertical="center" wrapText="1"/>
    </xf>
    <xf numFmtId="0" fontId="65" fillId="34" borderId="15" xfId="0" applyFont="1" applyFill="1" applyBorder="1" applyAlignment="1">
      <alignment horizontal="center"/>
    </xf>
    <xf numFmtId="0" fontId="65" fillId="34" borderId="15" xfId="0" applyFont="1" applyFill="1" applyBorder="1" applyAlignment="1">
      <alignment/>
    </xf>
    <xf numFmtId="10" fontId="0" fillId="0" borderId="15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9" fontId="18" fillId="0" borderId="15" xfId="54" applyFont="1" applyBorder="1" applyAlignment="1">
      <alignment horizontal="center"/>
    </xf>
    <xf numFmtId="44" fontId="17" fillId="0" borderId="18" xfId="47" applyFont="1" applyBorder="1" applyAlignment="1" applyProtection="1">
      <alignment horizontal="center"/>
      <protection/>
    </xf>
    <xf numFmtId="10" fontId="0" fillId="0" borderId="15" xfId="0" applyNumberFormat="1" applyBorder="1" applyAlignment="1">
      <alignment horizontal="center"/>
    </xf>
    <xf numFmtId="10" fontId="65" fillId="0" borderId="15" xfId="0" applyNumberFormat="1" applyFont="1" applyBorder="1" applyAlignment="1">
      <alignment horizontal="center"/>
    </xf>
    <xf numFmtId="44" fontId="17" fillId="0" borderId="19" xfId="47" applyFont="1" applyBorder="1" applyAlignment="1" applyProtection="1">
      <alignment horizontal="center"/>
      <protection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 vertical="center"/>
    </xf>
    <xf numFmtId="0" fontId="65" fillId="0" borderId="1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20" fillId="0" borderId="0" xfId="52" applyNumberFormat="1" applyFont="1" applyFill="1" applyBorder="1" applyAlignment="1">
      <alignment horizontal="justify" vertical="justify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2" fontId="14" fillId="0" borderId="0" xfId="52" applyNumberFormat="1" applyFont="1" applyBorder="1" applyAlignment="1" applyProtection="1">
      <alignment horizontal="center"/>
      <protection locked="0"/>
    </xf>
    <xf numFmtId="9" fontId="67" fillId="0" borderId="0" xfId="54" applyFont="1" applyBorder="1" applyAlignment="1">
      <alignment horizontal="center"/>
    </xf>
    <xf numFmtId="44" fontId="68" fillId="0" borderId="0" xfId="47" applyFont="1" applyBorder="1" applyAlignment="1">
      <alignment horizontal="center"/>
    </xf>
    <xf numFmtId="10" fontId="18" fillId="0" borderId="0" xfId="54" applyNumberFormat="1" applyFont="1" applyBorder="1" applyAlignment="1">
      <alignment horizontal="center"/>
    </xf>
    <xf numFmtId="44" fontId="17" fillId="0" borderId="0" xfId="47" applyFont="1" applyBorder="1" applyAlignment="1">
      <alignment horizontal="center"/>
    </xf>
    <xf numFmtId="9" fontId="67" fillId="0" borderId="28" xfId="54" applyFont="1" applyBorder="1" applyAlignment="1">
      <alignment/>
    </xf>
    <xf numFmtId="9" fontId="67" fillId="0" borderId="29" xfId="54" applyFont="1" applyBorder="1" applyAlignment="1">
      <alignment/>
    </xf>
    <xf numFmtId="4" fontId="0" fillId="0" borderId="0" xfId="0" applyNumberFormat="1" applyAlignment="1">
      <alignment/>
    </xf>
    <xf numFmtId="9" fontId="68" fillId="0" borderId="0" xfId="47" applyNumberFormat="1" applyFont="1" applyBorder="1" applyAlignment="1">
      <alignment horizontal="center"/>
    </xf>
    <xf numFmtId="44" fontId="68" fillId="0" borderId="0" xfId="47" applyNumberFormat="1" applyFont="1" applyBorder="1" applyAlignment="1">
      <alignment horizontal="center"/>
    </xf>
    <xf numFmtId="49" fontId="0" fillId="0" borderId="0" xfId="0" applyNumberFormat="1" applyAlignment="1">
      <alignment/>
    </xf>
    <xf numFmtId="2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right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2" fontId="65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2" fontId="65" fillId="0" borderId="0" xfId="0" applyNumberFormat="1" applyFont="1" applyFill="1" applyBorder="1" applyAlignment="1">
      <alignment horizontal="right" vertical="center"/>
    </xf>
    <xf numFmtId="4" fontId="65" fillId="0" borderId="0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Border="1" applyAlignment="1">
      <alignment horizontal="center" vertical="center"/>
    </xf>
    <xf numFmtId="2" fontId="65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/>
    </xf>
    <xf numFmtId="4" fontId="65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2" fillId="0" borderId="35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/>
      <protection/>
    </xf>
    <xf numFmtId="0" fontId="13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2" fontId="14" fillId="0" borderId="36" xfId="52" applyNumberFormat="1" applyFont="1" applyBorder="1" applyAlignment="1">
      <alignment horizontal="center" vertical="center"/>
      <protection/>
    </xf>
    <xf numFmtId="2" fontId="8" fillId="0" borderId="10" xfId="52" applyNumberFormat="1" applyFont="1" applyFill="1" applyBorder="1">
      <alignment/>
      <protection/>
    </xf>
    <xf numFmtId="2" fontId="9" fillId="0" borderId="11" xfId="52" applyNumberFormat="1" applyFont="1" applyFill="1" applyBorder="1" applyProtection="1">
      <alignment/>
      <protection/>
    </xf>
    <xf numFmtId="2" fontId="20" fillId="0" borderId="10" xfId="52" applyNumberFormat="1" applyFont="1" applyFill="1" applyBorder="1" applyAlignment="1">
      <alignment horizontal="justify" vertical="justify"/>
      <protection/>
    </xf>
    <xf numFmtId="2" fontId="20" fillId="0" borderId="11" xfId="52" applyNumberFormat="1" applyFont="1" applyFill="1" applyBorder="1" applyAlignment="1">
      <alignment horizontal="justify" vertical="justify"/>
      <protection/>
    </xf>
    <xf numFmtId="2" fontId="8" fillId="0" borderId="11" xfId="52" applyNumberFormat="1" applyFont="1" applyFill="1" applyBorder="1" applyProtection="1">
      <alignment/>
      <protection/>
    </xf>
    <xf numFmtId="0" fontId="69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8" fillId="0" borderId="42" xfId="52" applyNumberFormat="1" applyFont="1" applyFill="1" applyBorder="1">
      <alignment/>
      <protection/>
    </xf>
    <xf numFmtId="2" fontId="8" fillId="0" borderId="43" xfId="52" applyNumberFormat="1" applyFill="1" applyBorder="1">
      <alignment/>
      <protection/>
    </xf>
    <xf numFmtId="181" fontId="10" fillId="0" borderId="43" xfId="52" applyNumberFormat="1" applyFont="1" applyFill="1" applyBorder="1" applyProtection="1">
      <alignment/>
      <protection/>
    </xf>
    <xf numFmtId="2" fontId="8" fillId="0" borderId="43" xfId="52" applyNumberFormat="1" applyFill="1" applyBorder="1" applyAlignment="1">
      <alignment horizontal="center"/>
      <protection/>
    </xf>
    <xf numFmtId="4" fontId="16" fillId="0" borderId="43" xfId="52" applyNumberFormat="1" applyFont="1" applyFill="1" applyBorder="1">
      <alignment/>
      <protection/>
    </xf>
    <xf numFmtId="2" fontId="9" fillId="0" borderId="43" xfId="52" applyNumberFormat="1" applyFont="1" applyFill="1" applyBorder="1" applyProtection="1">
      <alignment/>
      <protection/>
    </xf>
    <xf numFmtId="2" fontId="9" fillId="0" borderId="12" xfId="52" applyNumberFormat="1" applyFont="1" applyFill="1" applyBorder="1" applyProtection="1">
      <alignment/>
      <protection/>
    </xf>
    <xf numFmtId="1" fontId="5" fillId="0" borderId="30" xfId="0" applyNumberFormat="1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wrapText="1"/>
    </xf>
    <xf numFmtId="0" fontId="0" fillId="36" borderId="15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right" vertical="center" wrapText="1"/>
    </xf>
    <xf numFmtId="184" fontId="0" fillId="0" borderId="15" xfId="0" applyNumberForma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justify" vertical="center" wrapText="1"/>
      <protection/>
    </xf>
    <xf numFmtId="0" fontId="69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23" fillId="0" borderId="44" xfId="0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right" vertical="center"/>
    </xf>
    <xf numFmtId="10" fontId="5" fillId="0" borderId="47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4" fontId="5" fillId="0" borderId="47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5" borderId="16" xfId="0" applyFill="1" applyBorder="1" applyAlignment="1">
      <alignment horizont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4" fontId="5" fillId="0" borderId="19" xfId="0" applyNumberFormat="1" applyFont="1" applyFill="1" applyBorder="1" applyAlignment="1">
      <alignment horizontal="right" vertical="center"/>
    </xf>
    <xf numFmtId="4" fontId="3" fillId="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7" borderId="0" xfId="0" applyFill="1" applyAlignment="1">
      <alignment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179" fontId="5" fillId="0" borderId="58" xfId="67" applyNumberFormat="1" applyFont="1" applyFill="1" applyBorder="1" applyAlignment="1" applyProtection="1">
      <alignment horizontal="center" vertical="center" wrapText="1"/>
      <protection/>
    </xf>
    <xf numFmtId="179" fontId="5" fillId="0" borderId="59" xfId="67" applyNumberFormat="1" applyFont="1" applyFill="1" applyBorder="1" applyAlignment="1" applyProtection="1">
      <alignment horizontal="center" vertical="center" wrapText="1"/>
      <protection/>
    </xf>
    <xf numFmtId="179" fontId="5" fillId="0" borderId="60" xfId="67" applyNumberFormat="1" applyFont="1" applyFill="1" applyBorder="1" applyAlignment="1" applyProtection="1">
      <alignment horizontal="center" vertical="center" wrapText="1"/>
      <protection/>
    </xf>
    <xf numFmtId="14" fontId="5" fillId="0" borderId="28" xfId="67" applyNumberFormat="1" applyFont="1" applyFill="1" applyBorder="1" applyAlignment="1" applyProtection="1">
      <alignment horizontal="center" vertical="center"/>
      <protection/>
    </xf>
    <xf numFmtId="14" fontId="5" fillId="0" borderId="61" xfId="67" applyNumberFormat="1" applyFont="1" applyFill="1" applyBorder="1" applyAlignment="1" applyProtection="1">
      <alignment horizontal="center" vertical="center"/>
      <protection/>
    </xf>
    <xf numFmtId="14" fontId="5" fillId="0" borderId="62" xfId="67" applyNumberFormat="1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left" vertical="center"/>
    </xf>
    <xf numFmtId="0" fontId="2" fillId="0" borderId="55" xfId="0" applyNumberFormat="1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right" vertical="center" wrapText="1"/>
    </xf>
    <xf numFmtId="0" fontId="3" fillId="0" borderId="68" xfId="0" applyFon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right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61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46" xfId="0" applyFont="1" applyFill="1" applyBorder="1" applyAlignment="1">
      <alignment horizontal="center"/>
    </xf>
    <xf numFmtId="0" fontId="65" fillId="0" borderId="71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8" xfId="0" applyFont="1" applyFill="1" applyBorder="1" applyAlignment="1">
      <alignment horizontal="center" wrapText="1"/>
    </xf>
    <xf numFmtId="0" fontId="65" fillId="0" borderId="61" xfId="0" applyFont="1" applyFill="1" applyBorder="1" applyAlignment="1">
      <alignment horizontal="center" wrapText="1"/>
    </xf>
    <xf numFmtId="0" fontId="65" fillId="0" borderId="29" xfId="0" applyFont="1" applyFill="1" applyBorder="1" applyAlignment="1">
      <alignment horizontal="center" wrapText="1"/>
    </xf>
    <xf numFmtId="0" fontId="65" fillId="0" borderId="28" xfId="0" applyFont="1" applyFill="1" applyBorder="1" applyAlignment="1">
      <alignment horizontal="center"/>
    </xf>
    <xf numFmtId="0" fontId="65" fillId="0" borderId="61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65" fillId="34" borderId="15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horizontal="center"/>
    </xf>
    <xf numFmtId="0" fontId="65" fillId="0" borderId="67" xfId="0" applyFont="1" applyBorder="1" applyAlignment="1">
      <alignment horizontal="center"/>
    </xf>
    <xf numFmtId="0" fontId="65" fillId="0" borderId="68" xfId="0" applyFont="1" applyBorder="1" applyAlignment="1">
      <alignment horizontal="center"/>
    </xf>
    <xf numFmtId="0" fontId="65" fillId="0" borderId="48" xfId="0" applyFont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9" fontId="67" fillId="0" borderId="15" xfId="54" applyFont="1" applyBorder="1" applyAlignment="1">
      <alignment horizontal="center"/>
    </xf>
    <xf numFmtId="9" fontId="67" fillId="0" borderId="75" xfId="54" applyFont="1" applyBorder="1" applyAlignment="1">
      <alignment horizontal="center"/>
    </xf>
    <xf numFmtId="44" fontId="68" fillId="0" borderId="15" xfId="47" applyFont="1" applyBorder="1" applyAlignment="1">
      <alignment horizontal="center"/>
    </xf>
    <xf numFmtId="44" fontId="68" fillId="0" borderId="75" xfId="47" applyFont="1" applyBorder="1" applyAlignment="1">
      <alignment horizontal="center"/>
    </xf>
    <xf numFmtId="1" fontId="17" fillId="0" borderId="76" xfId="52" applyNumberFormat="1" applyFont="1" applyBorder="1" applyAlignment="1">
      <alignment horizontal="center" vertical="center"/>
      <protection/>
    </xf>
    <xf numFmtId="0" fontId="17" fillId="0" borderId="77" xfId="0" applyNumberFormat="1" applyFont="1" applyBorder="1" applyAlignment="1">
      <alignment vertical="center" wrapText="1"/>
    </xf>
    <xf numFmtId="0" fontId="17" fillId="0" borderId="74" xfId="0" applyNumberFormat="1" applyFont="1" applyBorder="1" applyAlignment="1">
      <alignment vertical="center" wrapText="1"/>
    </xf>
    <xf numFmtId="0" fontId="17" fillId="0" borderId="46" xfId="0" applyNumberFormat="1" applyFont="1" applyBorder="1" applyAlignment="1">
      <alignment vertical="center" wrapText="1"/>
    </xf>
    <xf numFmtId="0" fontId="17" fillId="0" borderId="26" xfId="0" applyNumberFormat="1" applyFont="1" applyBorder="1" applyAlignment="1">
      <alignment vertical="center" wrapText="1"/>
    </xf>
    <xf numFmtId="2" fontId="14" fillId="0" borderId="17" xfId="52" applyNumberFormat="1" applyFont="1" applyBorder="1" applyAlignment="1" applyProtection="1">
      <alignment horizontal="center"/>
      <protection locked="0"/>
    </xf>
    <xf numFmtId="9" fontId="67" fillId="0" borderId="16" xfId="54" applyFont="1" applyBorder="1" applyAlignment="1">
      <alignment horizontal="center"/>
    </xf>
    <xf numFmtId="0" fontId="2" fillId="33" borderId="78" xfId="0" applyFont="1" applyFill="1" applyBorder="1" applyAlignment="1">
      <alignment horizontal="left" vertical="top" wrapText="1"/>
    </xf>
    <xf numFmtId="0" fontId="2" fillId="33" borderId="79" xfId="0" applyFont="1" applyFill="1" applyBorder="1" applyAlignment="1">
      <alignment horizontal="left" vertical="top" wrapText="1"/>
    </xf>
    <xf numFmtId="0" fontId="2" fillId="33" borderId="80" xfId="0" applyFont="1" applyFill="1" applyBorder="1" applyAlignment="1">
      <alignment horizontal="left" vertical="top" wrapText="1"/>
    </xf>
    <xf numFmtId="0" fontId="2" fillId="0" borderId="81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33" borderId="81" xfId="0" applyFont="1" applyFill="1" applyBorder="1" applyAlignment="1">
      <alignment horizontal="left" vertical="center"/>
    </xf>
    <xf numFmtId="0" fontId="2" fillId="33" borderId="79" xfId="0" applyFont="1" applyFill="1" applyBorder="1" applyAlignment="1">
      <alignment horizontal="left" vertical="center"/>
    </xf>
    <xf numFmtId="0" fontId="2" fillId="33" borderId="82" xfId="0" applyFont="1" applyFill="1" applyBorder="1" applyAlignment="1">
      <alignment horizontal="left" vertical="center"/>
    </xf>
    <xf numFmtId="2" fontId="20" fillId="0" borderId="10" xfId="52" applyNumberFormat="1" applyFont="1" applyFill="1" applyBorder="1" applyAlignment="1">
      <alignment horizontal="justify" vertical="justify"/>
      <protection/>
    </xf>
    <xf numFmtId="2" fontId="20" fillId="0" borderId="0" xfId="52" applyNumberFormat="1" applyFont="1" applyFill="1" applyBorder="1" applyAlignment="1">
      <alignment horizontal="justify" vertical="justify"/>
      <protection/>
    </xf>
    <xf numFmtId="2" fontId="20" fillId="0" borderId="11" xfId="52" applyNumberFormat="1" applyFont="1" applyFill="1" applyBorder="1" applyAlignment="1">
      <alignment horizontal="justify" vertical="justify"/>
      <protection/>
    </xf>
    <xf numFmtId="1" fontId="17" fillId="0" borderId="38" xfId="52" applyNumberFormat="1" applyFont="1" applyBorder="1" applyAlignment="1">
      <alignment horizontal="center" vertical="center"/>
      <protection/>
    </xf>
    <xf numFmtId="0" fontId="17" fillId="0" borderId="16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17" fillId="0" borderId="77" xfId="0" applyNumberFormat="1" applyFont="1" applyBorder="1" applyAlignment="1">
      <alignment horizontal="left" vertical="center" wrapText="1"/>
    </xf>
    <xf numFmtId="0" fontId="17" fillId="0" borderId="74" xfId="0" applyNumberFormat="1" applyFont="1" applyBorder="1" applyAlignment="1">
      <alignment horizontal="left" vertical="center" wrapText="1"/>
    </xf>
    <xf numFmtId="0" fontId="17" fillId="0" borderId="46" xfId="0" applyNumberFormat="1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left" vertical="center" wrapText="1"/>
    </xf>
    <xf numFmtId="0" fontId="19" fillId="0" borderId="8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" fontId="17" fillId="0" borderId="84" xfId="52" applyNumberFormat="1" applyFont="1" applyBorder="1" applyAlignment="1">
      <alignment horizontal="center" vertical="center"/>
      <protection/>
    </xf>
    <xf numFmtId="1" fontId="17" fillId="0" borderId="73" xfId="52" applyNumberFormat="1" applyFont="1" applyBorder="1" applyAlignment="1">
      <alignment horizontal="center" vertical="center"/>
      <protection/>
    </xf>
    <xf numFmtId="1" fontId="17" fillId="0" borderId="74" xfId="52" applyNumberFormat="1" applyFont="1" applyBorder="1" applyAlignment="1">
      <alignment horizontal="center" vertical="center"/>
      <protection/>
    </xf>
    <xf numFmtId="1" fontId="17" fillId="0" borderId="42" xfId="52" applyNumberFormat="1" applyFont="1" applyBorder="1" applyAlignment="1">
      <alignment horizontal="center" vertical="center"/>
      <protection/>
    </xf>
    <xf numFmtId="1" fontId="17" fillId="0" borderId="43" xfId="52" applyNumberFormat="1" applyFont="1" applyBorder="1" applyAlignment="1">
      <alignment horizontal="center" vertical="center"/>
      <protection/>
    </xf>
    <xf numFmtId="1" fontId="17" fillId="0" borderId="41" xfId="52" applyNumberFormat="1" applyFont="1" applyBorder="1" applyAlignment="1">
      <alignment horizontal="center" vertical="center"/>
      <protection/>
    </xf>
    <xf numFmtId="2" fontId="14" fillId="0" borderId="85" xfId="52" applyNumberFormat="1" applyFont="1" applyBorder="1" applyAlignment="1">
      <alignment horizontal="center" vertical="center" wrapText="1"/>
      <protection/>
    </xf>
    <xf numFmtId="2" fontId="14" fillId="0" borderId="86" xfId="52" applyNumberFormat="1" applyFont="1" applyBorder="1" applyAlignment="1">
      <alignment horizontal="center" vertical="center" wrapText="1"/>
      <protection/>
    </xf>
    <xf numFmtId="44" fontId="17" fillId="0" borderId="18" xfId="47" applyFont="1" applyBorder="1" applyAlignment="1">
      <alignment horizontal="center"/>
    </xf>
    <xf numFmtId="10" fontId="18" fillId="0" borderId="28" xfId="54" applyNumberFormat="1" applyFont="1" applyBorder="1" applyAlignment="1">
      <alignment horizontal="center"/>
    </xf>
    <xf numFmtId="10" fontId="18" fillId="0" borderId="29" xfId="54" applyNumberFormat="1" applyFont="1" applyBorder="1" applyAlignment="1">
      <alignment horizontal="center"/>
    </xf>
    <xf numFmtId="44" fontId="68" fillId="0" borderId="28" xfId="47" applyFont="1" applyBorder="1" applyAlignment="1">
      <alignment horizontal="center"/>
    </xf>
    <xf numFmtId="44" fontId="68" fillId="0" borderId="29" xfId="47" applyFont="1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justify" vertical="justify" wrapText="1"/>
    </xf>
    <xf numFmtId="0" fontId="2" fillId="33" borderId="88" xfId="0" applyNumberFormat="1" applyFont="1" applyFill="1" applyBorder="1" applyAlignment="1">
      <alignment horizontal="justify" vertical="justify" wrapText="1"/>
    </xf>
    <xf numFmtId="0" fontId="2" fillId="33" borderId="14" xfId="0" applyNumberFormat="1" applyFont="1" applyFill="1" applyBorder="1" applyAlignment="1">
      <alignment horizontal="justify" vertical="justify" wrapText="1"/>
    </xf>
    <xf numFmtId="0" fontId="2" fillId="33" borderId="44" xfId="0" applyFont="1" applyFill="1" applyBorder="1" applyAlignment="1">
      <alignment horizontal="left" vertical="center"/>
    </xf>
    <xf numFmtId="0" fontId="2" fillId="33" borderId="88" xfId="0" applyFont="1" applyFill="1" applyBorder="1" applyAlignment="1">
      <alignment horizontal="left" vertical="center"/>
    </xf>
    <xf numFmtId="182" fontId="2" fillId="33" borderId="88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9" fontId="67" fillId="0" borderId="44" xfId="54" applyFont="1" applyBorder="1" applyAlignment="1">
      <alignment horizontal="center"/>
    </xf>
    <xf numFmtId="9" fontId="67" fillId="0" borderId="14" xfId="54" applyFont="1" applyBorder="1" applyAlignment="1">
      <alignment horizontal="center"/>
    </xf>
    <xf numFmtId="2" fontId="14" fillId="0" borderId="87" xfId="52" applyNumberFormat="1" applyFont="1" applyBorder="1" applyAlignment="1" applyProtection="1">
      <alignment horizontal="center"/>
      <protection locked="0"/>
    </xf>
    <xf numFmtId="9" fontId="67" fillId="0" borderId="27" xfId="54" applyFont="1" applyBorder="1" applyAlignment="1">
      <alignment horizontal="center"/>
    </xf>
    <xf numFmtId="10" fontId="18" fillId="0" borderId="62" xfId="54" applyNumberFormat="1" applyFont="1" applyBorder="1" applyAlignment="1">
      <alignment horizontal="center"/>
    </xf>
    <xf numFmtId="44" fontId="17" fillId="0" borderId="89" xfId="47" applyFont="1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_Plan1" xfId="52"/>
    <cellStyle name="Nota" xfId="53"/>
    <cellStyle name="Percent" xfId="54"/>
    <cellStyle name="Porcentagem 2" xfId="55"/>
    <cellStyle name="Porcentagem 3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38100</xdr:rowOff>
    </xdr:from>
    <xdr:to>
      <xdr:col>1</xdr:col>
      <xdr:colOff>962025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200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2</xdr:col>
      <xdr:colOff>609600</xdr:colOff>
      <xdr:row>0</xdr:row>
      <xdr:rowOff>533400</xdr:rowOff>
    </xdr:to>
    <xdr:pic>
      <xdr:nvPicPr>
        <xdr:cNvPr id="1" name="Picture 1" descr="dens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60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37">
      <selection activeCell="S26" sqref="S26"/>
    </sheetView>
  </sheetViews>
  <sheetFormatPr defaultColWidth="9.140625" defaultRowHeight="15"/>
  <cols>
    <col min="1" max="1" width="6.8515625" style="30" customWidth="1"/>
    <col min="2" max="2" width="21.57421875" style="30" customWidth="1"/>
    <col min="3" max="3" width="66.28125" style="30" customWidth="1"/>
    <col min="4" max="4" width="5.8515625" style="30" customWidth="1"/>
    <col min="5" max="5" width="8.7109375" style="30" customWidth="1"/>
    <col min="6" max="8" width="9.7109375" style="30" customWidth="1"/>
    <col min="9" max="9" width="12.140625" style="30" customWidth="1"/>
  </cols>
  <sheetData>
    <row r="1" spans="1:9" ht="24.75" customHeight="1">
      <c r="A1" s="205" t="s">
        <v>12</v>
      </c>
      <c r="B1" s="206"/>
      <c r="C1" s="206"/>
      <c r="D1" s="206"/>
      <c r="E1" s="206"/>
      <c r="F1" s="206"/>
      <c r="G1" s="207"/>
      <c r="H1" s="207"/>
      <c r="I1" s="208"/>
    </row>
    <row r="2" spans="1:9" ht="38.25" customHeight="1">
      <c r="A2" s="209" t="s">
        <v>13</v>
      </c>
      <c r="B2" s="210"/>
      <c r="C2" s="211" t="s">
        <v>185</v>
      </c>
      <c r="D2" s="212"/>
      <c r="E2" s="213"/>
      <c r="F2" s="214" t="s">
        <v>186</v>
      </c>
      <c r="G2" s="215"/>
      <c r="H2" s="215"/>
      <c r="I2" s="216"/>
    </row>
    <row r="3" spans="1:9" ht="15.75" customHeight="1">
      <c r="A3" s="209" t="s">
        <v>14</v>
      </c>
      <c r="B3" s="210"/>
      <c r="C3" s="229" t="s">
        <v>16</v>
      </c>
      <c r="D3" s="229"/>
      <c r="E3" s="230"/>
      <c r="F3" s="217" t="s">
        <v>281</v>
      </c>
      <c r="G3" s="218"/>
      <c r="H3" s="218"/>
      <c r="I3" s="219"/>
    </row>
    <row r="4" spans="1:9" ht="21" customHeight="1" thickBot="1">
      <c r="A4" s="227" t="s">
        <v>15</v>
      </c>
      <c r="B4" s="228"/>
      <c r="C4" s="128" t="s">
        <v>17</v>
      </c>
      <c r="D4" s="223" t="s">
        <v>188</v>
      </c>
      <c r="E4" s="224"/>
      <c r="F4" s="225"/>
      <c r="G4" s="225"/>
      <c r="H4" s="225"/>
      <c r="I4" s="226"/>
    </row>
    <row r="5" spans="1:9" s="1" customFormat="1" ht="15.75" thickBot="1">
      <c r="A5" s="129" t="s">
        <v>0</v>
      </c>
      <c r="B5" s="130" t="s">
        <v>105</v>
      </c>
      <c r="C5" s="131" t="s">
        <v>1</v>
      </c>
      <c r="D5" s="220" t="s">
        <v>2</v>
      </c>
      <c r="E5" s="221"/>
      <c r="F5" s="221"/>
      <c r="G5" s="221"/>
      <c r="H5" s="221"/>
      <c r="I5" s="222"/>
    </row>
    <row r="6" spans="1:10" ht="15.75" customHeight="1" thickBot="1">
      <c r="A6" s="132"/>
      <c r="B6" s="133"/>
      <c r="C6" s="231" t="s">
        <v>187</v>
      </c>
      <c r="D6" s="232"/>
      <c r="E6" s="232"/>
      <c r="F6" s="232"/>
      <c r="G6" s="232"/>
      <c r="H6" s="232"/>
      <c r="I6" s="233"/>
      <c r="J6" s="2"/>
    </row>
    <row r="7" spans="1:10" s="1" customFormat="1" ht="31.5" customHeight="1">
      <c r="A7" s="69">
        <v>1</v>
      </c>
      <c r="B7" s="70"/>
      <c r="C7" s="71" t="s">
        <v>18</v>
      </c>
      <c r="D7" s="67" t="s">
        <v>10</v>
      </c>
      <c r="E7" s="67" t="s">
        <v>3</v>
      </c>
      <c r="F7" s="67" t="s">
        <v>280</v>
      </c>
      <c r="G7" s="185" t="s">
        <v>278</v>
      </c>
      <c r="H7" s="185" t="s">
        <v>279</v>
      </c>
      <c r="I7" s="68" t="s">
        <v>4</v>
      </c>
      <c r="J7" s="101"/>
    </row>
    <row r="8" spans="1:11" s="83" customFormat="1" ht="40.5" customHeight="1">
      <c r="A8" s="103" t="s">
        <v>5</v>
      </c>
      <c r="B8" s="110" t="s">
        <v>286</v>
      </c>
      <c r="C8" s="111" t="s">
        <v>287</v>
      </c>
      <c r="D8" s="104" t="s">
        <v>34</v>
      </c>
      <c r="E8" s="105">
        <v>1</v>
      </c>
      <c r="F8" s="105">
        <f>ROUND((I9+I10+I11+I12+I26+I31+I34+I41)*0.005,2)</f>
        <v>1192.92</v>
      </c>
      <c r="G8" s="190">
        <f>ROUND('Cálculo do BDI'!$G$15,4)</f>
        <v>0.2577</v>
      </c>
      <c r="H8" s="187">
        <f>ROUND(F8*(1+G8),2)</f>
        <v>1500.34</v>
      </c>
      <c r="I8" s="107">
        <f>ROUND(H8*E8,2)</f>
        <v>1500.34</v>
      </c>
      <c r="K8" s="83">
        <f>E8*F8</f>
        <v>1192.92</v>
      </c>
    </row>
    <row r="9" spans="1:11" s="83" customFormat="1" ht="38.25">
      <c r="A9" s="175" t="s">
        <v>32</v>
      </c>
      <c r="B9" s="110" t="s">
        <v>213</v>
      </c>
      <c r="C9" s="109" t="s">
        <v>158</v>
      </c>
      <c r="D9" s="104" t="s">
        <v>36</v>
      </c>
      <c r="E9" s="105">
        <v>20</v>
      </c>
      <c r="F9" s="106">
        <v>403.09</v>
      </c>
      <c r="G9" s="191">
        <f>ROUND('Cálculo do BDI'!$G$15,4)</f>
        <v>0.2577</v>
      </c>
      <c r="H9" s="187">
        <f>ROUND(F9*(1+G9),2)</f>
        <v>506.97</v>
      </c>
      <c r="I9" s="107">
        <f>ROUND(H9*E9,2)</f>
        <v>10139.4</v>
      </c>
      <c r="J9" s="84"/>
      <c r="K9" s="83">
        <f>E9*F9</f>
        <v>8061.799999999999</v>
      </c>
    </row>
    <row r="10" spans="1:11" s="83" customFormat="1" ht="23.25" customHeight="1">
      <c r="A10" s="175" t="s">
        <v>35</v>
      </c>
      <c r="B10" s="110" t="s">
        <v>178</v>
      </c>
      <c r="C10" s="182" t="s">
        <v>179</v>
      </c>
      <c r="D10" s="181" t="s">
        <v>198</v>
      </c>
      <c r="E10" s="105">
        <v>3</v>
      </c>
      <c r="F10" s="106">
        <v>515</v>
      </c>
      <c r="G10" s="191">
        <f>ROUND('Cálculo do BDI'!$G$15,4)</f>
        <v>0.2577</v>
      </c>
      <c r="H10" s="187">
        <f>ROUND(F10*(1+G10),2)</f>
        <v>647.72</v>
      </c>
      <c r="I10" s="107">
        <f>ROUND(H10*E10,2)</f>
        <v>1943.16</v>
      </c>
      <c r="J10" s="84"/>
      <c r="K10" s="83">
        <f>E10*F10</f>
        <v>1545</v>
      </c>
    </row>
    <row r="11" spans="1:11" ht="25.5" customHeight="1">
      <c r="A11" s="103" t="s">
        <v>48</v>
      </c>
      <c r="B11" s="110" t="s">
        <v>214</v>
      </c>
      <c r="C11" s="109" t="s">
        <v>75</v>
      </c>
      <c r="D11" s="104" t="s">
        <v>36</v>
      </c>
      <c r="E11" s="105">
        <f>2*3</f>
        <v>6</v>
      </c>
      <c r="F11" s="106">
        <v>317.35</v>
      </c>
      <c r="G11" s="191">
        <f>ROUND('Cálculo do BDI'!$G$15,4)</f>
        <v>0.2577</v>
      </c>
      <c r="H11" s="187">
        <f>ROUND(F11*(1+G11),2)</f>
        <v>399.13</v>
      </c>
      <c r="I11" s="107">
        <f>ROUND(H11*E11,2)</f>
        <v>2394.78</v>
      </c>
      <c r="J11" s="2"/>
      <c r="K11" s="83">
        <f>E11*F11</f>
        <v>1904.1000000000001</v>
      </c>
    </row>
    <row r="12" spans="1:11" s="83" customFormat="1" ht="28.5" customHeight="1">
      <c r="A12" s="175" t="s">
        <v>49</v>
      </c>
      <c r="B12" s="110" t="s">
        <v>215</v>
      </c>
      <c r="C12" s="109" t="s">
        <v>263</v>
      </c>
      <c r="D12" s="104" t="s">
        <v>19</v>
      </c>
      <c r="E12" s="105">
        <v>592</v>
      </c>
      <c r="F12" s="106">
        <v>2.55</v>
      </c>
      <c r="G12" s="191">
        <f>ROUND('Cálculo do BDI'!$G$15,4)</f>
        <v>0.2577</v>
      </c>
      <c r="H12" s="187">
        <f>ROUND(F12*(1+G12),2)</f>
        <v>3.21</v>
      </c>
      <c r="I12" s="107">
        <f>ROUND(H12*E12,2)</f>
        <v>1900.32</v>
      </c>
      <c r="J12" s="84"/>
      <c r="K12" s="83">
        <f>E12*F12</f>
        <v>1509.6</v>
      </c>
    </row>
    <row r="13" spans="1:12" ht="15.75" customHeight="1">
      <c r="A13" s="134"/>
      <c r="B13" s="135"/>
      <c r="C13" s="136" t="s">
        <v>11</v>
      </c>
      <c r="D13" s="137"/>
      <c r="E13" s="138"/>
      <c r="F13" s="196"/>
      <c r="G13" s="191"/>
      <c r="H13" s="149"/>
      <c r="I13" s="77">
        <f>SUM(I8:I12)</f>
        <v>17878</v>
      </c>
      <c r="J13" s="2"/>
      <c r="K13" s="199">
        <f>SUM(K8:K12)</f>
        <v>14213.42</v>
      </c>
      <c r="L13" s="200">
        <f>K13*1.2577</f>
        <v>17876.218334</v>
      </c>
    </row>
    <row r="14" spans="1:10" ht="31.5" customHeight="1">
      <c r="A14" s="72">
        <v>2</v>
      </c>
      <c r="B14" s="73"/>
      <c r="C14" s="74" t="s">
        <v>184</v>
      </c>
      <c r="D14" s="75" t="s">
        <v>10</v>
      </c>
      <c r="E14" s="75" t="s">
        <v>3</v>
      </c>
      <c r="F14" s="195" t="s">
        <v>280</v>
      </c>
      <c r="G14" s="195" t="s">
        <v>278</v>
      </c>
      <c r="H14" s="195" t="s">
        <v>279</v>
      </c>
      <c r="I14" s="76" t="s">
        <v>4</v>
      </c>
      <c r="J14" s="2"/>
    </row>
    <row r="15" spans="1:17" s="83" customFormat="1" ht="41.25" customHeight="1">
      <c r="A15" s="103" t="s">
        <v>87</v>
      </c>
      <c r="B15" s="110" t="s">
        <v>216</v>
      </c>
      <c r="C15" s="111" t="s">
        <v>115</v>
      </c>
      <c r="D15" s="104" t="s">
        <v>6</v>
      </c>
      <c r="E15" s="105">
        <f>L16*0.2</f>
        <v>475.9680000000001</v>
      </c>
      <c r="F15" s="105">
        <v>12.18</v>
      </c>
      <c r="G15" s="193">
        <f>ROUND('Cálculo do BDI'!$G$15,4)</f>
        <v>0.2577</v>
      </c>
      <c r="H15" s="186">
        <f>ROUND(F15*(1+G15),2)</f>
        <v>15.32</v>
      </c>
      <c r="I15" s="107">
        <v>7291.86</v>
      </c>
      <c r="K15" s="83">
        <f>E15*F15</f>
        <v>5797.290240000001</v>
      </c>
      <c r="Q15" s="204">
        <f>ROUND(H15*E15,2)</f>
        <v>7291.83</v>
      </c>
    </row>
    <row r="16" spans="1:18" s="83" customFormat="1" ht="45" customHeight="1">
      <c r="A16" s="103" t="s">
        <v>31</v>
      </c>
      <c r="B16" s="110" t="s">
        <v>217</v>
      </c>
      <c r="C16" s="111" t="s">
        <v>116</v>
      </c>
      <c r="D16" s="104" t="s">
        <v>6</v>
      </c>
      <c r="E16" s="105">
        <f>L16*0.65</f>
        <v>1546.8960000000002</v>
      </c>
      <c r="F16" s="105">
        <v>6.93</v>
      </c>
      <c r="G16" s="193">
        <f>ROUND('Cálculo do BDI'!$G$15,4)</f>
        <v>0.2577</v>
      </c>
      <c r="H16" s="186">
        <f aca="true" t="shared" si="0" ref="H16:H40">ROUND(F16*(1+G16),2)</f>
        <v>8.72</v>
      </c>
      <c r="I16" s="107">
        <v>13488.97</v>
      </c>
      <c r="K16" s="83">
        <f aca="true" t="shared" si="1" ref="K16:K25">E16*F16</f>
        <v>10719.989280000002</v>
      </c>
      <c r="L16" s="95">
        <f>592*1.2*3.35</f>
        <v>2379.84</v>
      </c>
      <c r="M16" s="95"/>
      <c r="O16" s="83">
        <f>3.1416*0.1*0.1*(592)</f>
        <v>18.598272</v>
      </c>
      <c r="Q16" s="204">
        <f>ROUND(H16*E16,2)</f>
        <v>13488.93</v>
      </c>
      <c r="R16" s="95">
        <f>E16-O16</f>
        <v>1528.2977280000002</v>
      </c>
    </row>
    <row r="17" spans="1:17" s="83" customFormat="1" ht="45" customHeight="1">
      <c r="A17" s="103" t="s">
        <v>7</v>
      </c>
      <c r="B17" s="110" t="s">
        <v>218</v>
      </c>
      <c r="C17" s="111" t="s">
        <v>117</v>
      </c>
      <c r="D17" s="104" t="s">
        <v>6</v>
      </c>
      <c r="E17" s="105">
        <f>L16*0.15</f>
        <v>356.976</v>
      </c>
      <c r="F17" s="106">
        <v>4.37</v>
      </c>
      <c r="G17" s="191">
        <f>ROUND('Cálculo do BDI'!$G$15,4)</f>
        <v>0.2577</v>
      </c>
      <c r="H17" s="186">
        <f t="shared" si="0"/>
        <v>5.5</v>
      </c>
      <c r="I17" s="107">
        <v>1963.39</v>
      </c>
      <c r="K17" s="83">
        <f t="shared" si="1"/>
        <v>1559.98512</v>
      </c>
      <c r="O17" s="83">
        <f>3.1416*0.4*0.4*2.5*14</f>
        <v>17.592959999999998</v>
      </c>
      <c r="Q17" s="204">
        <f>ROUND(H17*E17,2)</f>
        <v>1963.37</v>
      </c>
    </row>
    <row r="18" spans="1:11" s="83" customFormat="1" ht="20.25" customHeight="1">
      <c r="A18" s="103" t="s">
        <v>8</v>
      </c>
      <c r="B18" s="110" t="s">
        <v>220</v>
      </c>
      <c r="C18" s="109" t="s">
        <v>154</v>
      </c>
      <c r="D18" s="104" t="s">
        <v>36</v>
      </c>
      <c r="E18" s="105">
        <f>592*1.2</f>
        <v>710.4</v>
      </c>
      <c r="F18" s="106">
        <v>2.72</v>
      </c>
      <c r="G18" s="191">
        <f>ROUND('Cálculo do BDI'!$G$15,4)</f>
        <v>0.2577</v>
      </c>
      <c r="H18" s="186">
        <f t="shared" si="0"/>
        <v>3.42</v>
      </c>
      <c r="I18" s="107">
        <f aca="true" t="shared" si="2" ref="I18:I25">ROUND(H18*E18,2)</f>
        <v>2429.57</v>
      </c>
      <c r="J18" s="84"/>
      <c r="K18" s="83">
        <f t="shared" si="1"/>
        <v>1932.288</v>
      </c>
    </row>
    <row r="19" spans="1:11" s="30" customFormat="1" ht="30" customHeight="1">
      <c r="A19" s="103" t="s">
        <v>9</v>
      </c>
      <c r="B19" s="108" t="s">
        <v>219</v>
      </c>
      <c r="C19" s="109" t="s">
        <v>182</v>
      </c>
      <c r="D19" s="104" t="s">
        <v>6</v>
      </c>
      <c r="E19" s="105">
        <f>SUM(E15:E17)+E21</f>
        <v>3978.2400000000002</v>
      </c>
      <c r="F19" s="106">
        <v>1.08</v>
      </c>
      <c r="G19" s="191">
        <f>ROUND('Cálculo do BDI'!$G$15,4)</f>
        <v>0.2577</v>
      </c>
      <c r="H19" s="186">
        <f t="shared" si="0"/>
        <v>1.36</v>
      </c>
      <c r="I19" s="107">
        <f t="shared" si="2"/>
        <v>5410.41</v>
      </c>
      <c r="K19" s="83">
        <f t="shared" si="1"/>
        <v>4296.4992</v>
      </c>
    </row>
    <row r="20" spans="1:13" s="30" customFormat="1" ht="15">
      <c r="A20" s="103" t="s">
        <v>163</v>
      </c>
      <c r="B20" s="110" t="s">
        <v>221</v>
      </c>
      <c r="C20" s="177" t="s">
        <v>262</v>
      </c>
      <c r="D20" s="104" t="s">
        <v>6</v>
      </c>
      <c r="E20" s="105">
        <f>1.2*0.1*592</f>
        <v>71.03999999999999</v>
      </c>
      <c r="F20" s="106">
        <v>52.5</v>
      </c>
      <c r="G20" s="191">
        <f>ROUND('Cálculo do BDI'!$G$15,4)</f>
        <v>0.2577</v>
      </c>
      <c r="H20" s="186">
        <f t="shared" si="0"/>
        <v>66.03</v>
      </c>
      <c r="I20" s="107">
        <f t="shared" si="2"/>
        <v>4690.77</v>
      </c>
      <c r="K20" s="83">
        <f t="shared" si="1"/>
        <v>3729.5999999999995</v>
      </c>
      <c r="L20" s="112"/>
      <c r="M20" s="112"/>
    </row>
    <row r="21" spans="1:15" s="83" customFormat="1" ht="38.25">
      <c r="A21" s="103" t="s">
        <v>138</v>
      </c>
      <c r="B21" s="110" t="s">
        <v>44</v>
      </c>
      <c r="C21" s="109" t="s">
        <v>211</v>
      </c>
      <c r="D21" s="104" t="s">
        <v>6</v>
      </c>
      <c r="E21" s="105">
        <f>(2.35*592*1.2)-E20</f>
        <v>1598.4</v>
      </c>
      <c r="F21" s="106">
        <f>Composições!N223</f>
        <v>9.719999999999999</v>
      </c>
      <c r="G21" s="191">
        <f>ROUND('Cálculo do BDI'!$G$15,4)</f>
        <v>0.2577</v>
      </c>
      <c r="H21" s="186">
        <f t="shared" si="0"/>
        <v>12.22</v>
      </c>
      <c r="I21" s="107">
        <f t="shared" si="2"/>
        <v>19532.45</v>
      </c>
      <c r="K21" s="83">
        <f t="shared" si="1"/>
        <v>15536.447999999999</v>
      </c>
      <c r="O21" s="83">
        <f>3.1416*0.4*0.4*1*14</f>
        <v>7.037184</v>
      </c>
    </row>
    <row r="22" spans="1:11" s="83" customFormat="1" ht="29.25" customHeight="1">
      <c r="A22" s="103" t="s">
        <v>164</v>
      </c>
      <c r="B22" s="110" t="s">
        <v>222</v>
      </c>
      <c r="C22" s="109" t="s">
        <v>155</v>
      </c>
      <c r="D22" s="104" t="s">
        <v>20</v>
      </c>
      <c r="E22" s="105">
        <f>E19*4</f>
        <v>15912.960000000001</v>
      </c>
      <c r="F22" s="106">
        <v>1.38</v>
      </c>
      <c r="G22" s="191">
        <f>ROUND('Cálculo do BDI'!$G$15,4)</f>
        <v>0.2577</v>
      </c>
      <c r="H22" s="186">
        <f t="shared" si="0"/>
        <v>1.74</v>
      </c>
      <c r="I22" s="107">
        <f t="shared" si="2"/>
        <v>27688.55</v>
      </c>
      <c r="K22" s="83">
        <f t="shared" si="1"/>
        <v>21959.8848</v>
      </c>
    </row>
    <row r="23" spans="1:17" s="83" customFormat="1" ht="45" customHeight="1">
      <c r="A23" s="103" t="s">
        <v>273</v>
      </c>
      <c r="B23" s="110" t="s">
        <v>223</v>
      </c>
      <c r="C23" s="109" t="s">
        <v>183</v>
      </c>
      <c r="D23" s="104" t="s">
        <v>6</v>
      </c>
      <c r="E23" s="105">
        <f>L23</f>
        <v>691.801728</v>
      </c>
      <c r="F23" s="106">
        <v>10.63</v>
      </c>
      <c r="G23" s="191">
        <f>ROUND('Cálculo do BDI'!$G$15,4)</f>
        <v>0.2577</v>
      </c>
      <c r="H23" s="186">
        <f t="shared" si="0"/>
        <v>13.37</v>
      </c>
      <c r="I23" s="107">
        <v>9249.37</v>
      </c>
      <c r="J23" s="84"/>
      <c r="K23" s="83">
        <f t="shared" si="1"/>
        <v>7353.852368640001</v>
      </c>
      <c r="L23" s="83">
        <f>592*1.2-(3.1416*0.1*0.1*(592))</f>
        <v>691.801728</v>
      </c>
      <c r="M23" s="95">
        <f>E23+E21</f>
        <v>2290.201728</v>
      </c>
      <c r="N23" s="95">
        <f>E21+592</f>
        <v>2190.4</v>
      </c>
      <c r="Q23" s="204">
        <f>ROUND(H23*E23,2)</f>
        <v>9249.39</v>
      </c>
    </row>
    <row r="24" spans="1:11" s="83" customFormat="1" ht="38.25">
      <c r="A24" s="103" t="s">
        <v>165</v>
      </c>
      <c r="B24" s="110" t="s">
        <v>224</v>
      </c>
      <c r="C24" s="109" t="s">
        <v>260</v>
      </c>
      <c r="D24" s="104" t="s">
        <v>36</v>
      </c>
      <c r="E24" s="105">
        <f>0.4*2*592*0.3</f>
        <v>142.08</v>
      </c>
      <c r="F24" s="106">
        <v>53.98</v>
      </c>
      <c r="G24" s="191">
        <f>ROUND('Cálculo do BDI'!$G$15,4)</f>
        <v>0.2577</v>
      </c>
      <c r="H24" s="186">
        <f t="shared" si="0"/>
        <v>67.89</v>
      </c>
      <c r="I24" s="107">
        <f t="shared" si="2"/>
        <v>9645.81</v>
      </c>
      <c r="J24" s="84"/>
      <c r="K24" s="83">
        <f t="shared" si="1"/>
        <v>7669.4784</v>
      </c>
    </row>
    <row r="25" spans="1:11" s="83" customFormat="1" ht="42.75" customHeight="1">
      <c r="A25" s="103" t="s">
        <v>274</v>
      </c>
      <c r="B25" s="110" t="s">
        <v>225</v>
      </c>
      <c r="C25" s="109" t="s">
        <v>261</v>
      </c>
      <c r="D25" s="104" t="s">
        <v>36</v>
      </c>
      <c r="E25" s="105">
        <f>3*2*592*0.3</f>
        <v>1065.6</v>
      </c>
      <c r="F25" s="106">
        <v>37.54</v>
      </c>
      <c r="G25" s="191">
        <f>ROUND('Cálculo do BDI'!$G$15,4)</f>
        <v>0.2577</v>
      </c>
      <c r="H25" s="186">
        <f t="shared" si="0"/>
        <v>47.21</v>
      </c>
      <c r="I25" s="107">
        <f t="shared" si="2"/>
        <v>50306.98</v>
      </c>
      <c r="J25" s="84"/>
      <c r="K25" s="83">
        <f t="shared" si="1"/>
        <v>40002.623999999996</v>
      </c>
    </row>
    <row r="26" spans="1:12" ht="15.75" customHeight="1">
      <c r="A26" s="134"/>
      <c r="B26" s="135"/>
      <c r="C26" s="136" t="s">
        <v>11</v>
      </c>
      <c r="D26" s="137"/>
      <c r="E26" s="138"/>
      <c r="F26" s="138"/>
      <c r="G26" s="191"/>
      <c r="H26" s="186"/>
      <c r="I26" s="77">
        <f>SUM(I15:I25)</f>
        <v>151698.13</v>
      </c>
      <c r="J26" s="2"/>
      <c r="K26" s="1">
        <f>SUM(K15:K25)</f>
        <v>120557.93940864001</v>
      </c>
      <c r="L26" s="200">
        <f>K26*1.2577</f>
        <v>151625.72039424654</v>
      </c>
    </row>
    <row r="27" spans="1:10" ht="31.5" customHeight="1">
      <c r="A27" s="72">
        <v>3</v>
      </c>
      <c r="B27" s="73"/>
      <c r="C27" s="74" t="s">
        <v>180</v>
      </c>
      <c r="D27" s="75" t="s">
        <v>10</v>
      </c>
      <c r="E27" s="75" t="s">
        <v>3</v>
      </c>
      <c r="F27" s="75" t="s">
        <v>280</v>
      </c>
      <c r="G27" s="195" t="s">
        <v>278</v>
      </c>
      <c r="H27" s="195" t="s">
        <v>279</v>
      </c>
      <c r="I27" s="76" t="s">
        <v>4</v>
      </c>
      <c r="J27" s="2"/>
    </row>
    <row r="28" spans="1:11" s="83" customFormat="1" ht="45" customHeight="1">
      <c r="A28" s="175" t="s">
        <v>88</v>
      </c>
      <c r="B28" s="103" t="s">
        <v>226</v>
      </c>
      <c r="C28" s="109" t="s">
        <v>204</v>
      </c>
      <c r="D28" s="104" t="s">
        <v>19</v>
      </c>
      <c r="E28" s="105">
        <v>592</v>
      </c>
      <c r="F28" s="106">
        <v>7.24</v>
      </c>
      <c r="G28" s="190">
        <f>ROUND('Cálculo do BDI'!$G$15,4)</f>
        <v>0.2577</v>
      </c>
      <c r="H28" s="194">
        <f t="shared" si="0"/>
        <v>9.11</v>
      </c>
      <c r="I28" s="107">
        <f>ROUND(H28*E28,2)</f>
        <v>5393.12</v>
      </c>
      <c r="J28" s="84"/>
      <c r="K28" s="83">
        <f>E28*F28</f>
        <v>4286.08</v>
      </c>
    </row>
    <row r="29" spans="1:11" s="83" customFormat="1" ht="25.5">
      <c r="A29" s="175" t="s">
        <v>89</v>
      </c>
      <c r="B29" s="108" t="s">
        <v>44</v>
      </c>
      <c r="C29" s="109" t="s">
        <v>205</v>
      </c>
      <c r="D29" s="104" t="s">
        <v>159</v>
      </c>
      <c r="E29" s="105">
        <v>95</v>
      </c>
      <c r="F29" s="106">
        <f>Composições!N201</f>
        <v>16.21</v>
      </c>
      <c r="G29" s="191">
        <f>ROUND('Cálculo do BDI'!$G$15,4)</f>
        <v>0.2577</v>
      </c>
      <c r="H29" s="186">
        <f t="shared" si="0"/>
        <v>20.39</v>
      </c>
      <c r="I29" s="107">
        <f>ROUND(H29*E29,2)</f>
        <v>1937.05</v>
      </c>
      <c r="K29" s="83">
        <f>E29*F29</f>
        <v>1539.95</v>
      </c>
    </row>
    <row r="30" spans="1:11" s="83" customFormat="1" ht="31.5" customHeight="1">
      <c r="A30" s="175" t="s">
        <v>90</v>
      </c>
      <c r="B30" s="103" t="s">
        <v>227</v>
      </c>
      <c r="C30" s="109" t="s">
        <v>98</v>
      </c>
      <c r="D30" s="104" t="s">
        <v>36</v>
      </c>
      <c r="E30" s="105">
        <f>2*E28*1*0.2</f>
        <v>236.8</v>
      </c>
      <c r="F30" s="106">
        <v>18.85</v>
      </c>
      <c r="G30" s="191">
        <f>ROUND('Cálculo do BDI'!$G$15,4)</f>
        <v>0.2577</v>
      </c>
      <c r="H30" s="186">
        <f t="shared" si="0"/>
        <v>23.71</v>
      </c>
      <c r="I30" s="107">
        <f>ROUND(H30*E30,2)</f>
        <v>5614.53</v>
      </c>
      <c r="J30" s="84"/>
      <c r="K30" s="83">
        <f>E30*F30</f>
        <v>4463.68</v>
      </c>
    </row>
    <row r="31" spans="1:12" ht="15.75" customHeight="1">
      <c r="A31" s="134"/>
      <c r="B31" s="135"/>
      <c r="C31" s="136" t="s">
        <v>11</v>
      </c>
      <c r="D31" s="137"/>
      <c r="E31" s="139"/>
      <c r="F31" s="106"/>
      <c r="G31" s="192"/>
      <c r="H31" s="186"/>
      <c r="I31" s="77">
        <f>SUM(I28:I30)</f>
        <v>12944.7</v>
      </c>
      <c r="J31" s="2"/>
      <c r="K31" s="1">
        <f>SUM(K28:K30)</f>
        <v>10289.71</v>
      </c>
      <c r="L31" s="200">
        <f>K31*1.2577</f>
        <v>12941.368267</v>
      </c>
    </row>
    <row r="32" spans="1:10" s="30" customFormat="1" ht="31.5" customHeight="1">
      <c r="A32" s="72">
        <v>4</v>
      </c>
      <c r="B32" s="73"/>
      <c r="C32" s="74" t="s">
        <v>181</v>
      </c>
      <c r="D32" s="75" t="s">
        <v>10</v>
      </c>
      <c r="E32" s="75" t="s">
        <v>3</v>
      </c>
      <c r="F32" s="195" t="s">
        <v>280</v>
      </c>
      <c r="G32" s="188" t="s">
        <v>278</v>
      </c>
      <c r="H32" s="195" t="s">
        <v>279</v>
      </c>
      <c r="I32" s="76" t="s">
        <v>4</v>
      </c>
      <c r="J32" s="80"/>
    </row>
    <row r="33" spans="1:11" s="83" customFormat="1" ht="55.5" customHeight="1">
      <c r="A33" s="176" t="s">
        <v>38</v>
      </c>
      <c r="B33" s="110" t="s">
        <v>44</v>
      </c>
      <c r="C33" s="109" t="s">
        <v>270</v>
      </c>
      <c r="D33" s="104" t="s">
        <v>34</v>
      </c>
      <c r="E33" s="105">
        <v>14</v>
      </c>
      <c r="F33" s="106">
        <f>Composições!N211</f>
        <v>635.66</v>
      </c>
      <c r="G33" s="190">
        <f>ROUND('Cálculo do BDI'!$G$15,4)</f>
        <v>0.2577</v>
      </c>
      <c r="H33" s="194">
        <f t="shared" si="0"/>
        <v>799.47</v>
      </c>
      <c r="I33" s="107">
        <f>ROUND(H33*E33,2)</f>
        <v>11192.58</v>
      </c>
      <c r="J33" s="84"/>
      <c r="K33" s="83">
        <f>E33*F33</f>
        <v>8899.24</v>
      </c>
    </row>
    <row r="34" spans="1:12" ht="15.75" customHeight="1">
      <c r="A34" s="134"/>
      <c r="B34" s="140"/>
      <c r="C34" s="136" t="s">
        <v>11</v>
      </c>
      <c r="D34" s="137"/>
      <c r="E34" s="138"/>
      <c r="F34" s="138"/>
      <c r="G34" s="191"/>
      <c r="H34" s="139"/>
      <c r="I34" s="77">
        <f>SUM(I33:I33)</f>
        <v>11192.58</v>
      </c>
      <c r="J34" s="2"/>
      <c r="K34" s="1">
        <f>K33</f>
        <v>8899.24</v>
      </c>
      <c r="L34" s="200">
        <f>K34*1.2577</f>
        <v>11192.574148</v>
      </c>
    </row>
    <row r="35" spans="1:10" s="30" customFormat="1" ht="31.5" customHeight="1">
      <c r="A35" s="72">
        <v>5</v>
      </c>
      <c r="B35" s="73"/>
      <c r="C35" s="74" t="s">
        <v>39</v>
      </c>
      <c r="D35" s="75" t="s">
        <v>10</v>
      </c>
      <c r="E35" s="75" t="s">
        <v>3</v>
      </c>
      <c r="F35" s="75" t="s">
        <v>280</v>
      </c>
      <c r="G35" s="195" t="s">
        <v>278</v>
      </c>
      <c r="H35" s="188" t="s">
        <v>279</v>
      </c>
      <c r="I35" s="76" t="s">
        <v>4</v>
      </c>
      <c r="J35" s="80"/>
    </row>
    <row r="36" spans="1:11" ht="15">
      <c r="A36" s="175" t="s">
        <v>189</v>
      </c>
      <c r="B36" s="108" t="s">
        <v>228</v>
      </c>
      <c r="C36" s="109" t="s">
        <v>40</v>
      </c>
      <c r="D36" s="104" t="s">
        <v>36</v>
      </c>
      <c r="E36" s="105">
        <f>592*7</f>
        <v>4144</v>
      </c>
      <c r="F36" s="106">
        <v>2.05</v>
      </c>
      <c r="G36" s="191">
        <f>ROUND('Cálculo do BDI'!$G$15,4)</f>
        <v>0.2577</v>
      </c>
      <c r="H36" s="186">
        <f t="shared" si="0"/>
        <v>2.58</v>
      </c>
      <c r="I36" s="107">
        <f>ROUND(H36*E36,2)</f>
        <v>10691.52</v>
      </c>
      <c r="K36" s="83">
        <f>E36*F36</f>
        <v>8495.199999999999</v>
      </c>
    </row>
    <row r="37" spans="1:14" ht="25.5">
      <c r="A37" s="175" t="s">
        <v>190</v>
      </c>
      <c r="B37" s="171" t="s">
        <v>229</v>
      </c>
      <c r="C37" s="109" t="s">
        <v>112</v>
      </c>
      <c r="D37" s="104" t="s">
        <v>6</v>
      </c>
      <c r="E37" s="105">
        <f>O16+E39*0.075+E20*1.3+592*1.2*0.075</f>
        <v>226.390272</v>
      </c>
      <c r="F37" s="106">
        <v>1.53</v>
      </c>
      <c r="G37" s="191">
        <f>ROUND('Cálculo do BDI'!$G$15,4)</f>
        <v>0.2577</v>
      </c>
      <c r="H37" s="186">
        <f t="shared" si="0"/>
        <v>1.92</v>
      </c>
      <c r="I37" s="107">
        <f>ROUND(H37*E37,2)</f>
        <v>434.67</v>
      </c>
      <c r="K37" s="83">
        <f>E37*F37</f>
        <v>346.37711616</v>
      </c>
      <c r="N37" s="83"/>
    </row>
    <row r="38" spans="1:14" s="30" customFormat="1" ht="25.5">
      <c r="A38" s="175" t="s">
        <v>191</v>
      </c>
      <c r="B38" s="108" t="s">
        <v>222</v>
      </c>
      <c r="C38" s="109" t="s">
        <v>203</v>
      </c>
      <c r="D38" s="104" t="s">
        <v>20</v>
      </c>
      <c r="E38" s="105">
        <f>E37*4</f>
        <v>905.561088</v>
      </c>
      <c r="F38" s="106">
        <v>1.38</v>
      </c>
      <c r="G38" s="191">
        <f>ROUND('Cálculo do BDI'!$G$15,4)</f>
        <v>0.2577</v>
      </c>
      <c r="H38" s="186">
        <f t="shared" si="0"/>
        <v>1.74</v>
      </c>
      <c r="I38" s="107">
        <v>1575.67</v>
      </c>
      <c r="K38" s="83">
        <f>E38*F38</f>
        <v>1249.67430144</v>
      </c>
      <c r="N38" s="204">
        <f>ROUND(H38*E38,2)</f>
        <v>1575.68</v>
      </c>
    </row>
    <row r="39" spans="1:11" s="30" customFormat="1" ht="25.5">
      <c r="A39" s="175" t="s">
        <v>192</v>
      </c>
      <c r="B39" s="108" t="s">
        <v>230</v>
      </c>
      <c r="C39" s="109" t="s">
        <v>212</v>
      </c>
      <c r="D39" s="104" t="s">
        <v>36</v>
      </c>
      <c r="E39" s="105">
        <f>592*1.4</f>
        <v>828.8</v>
      </c>
      <c r="F39" s="106">
        <v>8.51</v>
      </c>
      <c r="G39" s="191">
        <f>ROUND('Cálculo do BDI'!$G$15,4)</f>
        <v>0.2577</v>
      </c>
      <c r="H39" s="186">
        <f t="shared" si="0"/>
        <v>10.7</v>
      </c>
      <c r="I39" s="107">
        <f>ROUND(H39*E39,2)</f>
        <v>8868.16</v>
      </c>
      <c r="K39" s="83">
        <f>E39*F39</f>
        <v>7053.088</v>
      </c>
    </row>
    <row r="40" spans="1:11" s="30" customFormat="1" ht="15">
      <c r="A40" s="175" t="s">
        <v>272</v>
      </c>
      <c r="B40" s="108" t="s">
        <v>44</v>
      </c>
      <c r="C40" s="109" t="s">
        <v>271</v>
      </c>
      <c r="D40" s="104" t="s">
        <v>36</v>
      </c>
      <c r="E40" s="105">
        <f>592*1.2</f>
        <v>710.4</v>
      </c>
      <c r="F40" s="106">
        <f>Composições!N164</f>
        <v>27.759999999999998</v>
      </c>
      <c r="G40" s="191">
        <f>ROUND('Cálculo do BDI'!$G$15,4)</f>
        <v>0.2577</v>
      </c>
      <c r="H40" s="186">
        <f t="shared" si="0"/>
        <v>34.91</v>
      </c>
      <c r="I40" s="107">
        <f>ROUND(H40*E40,2)</f>
        <v>24800.06</v>
      </c>
      <c r="K40" s="83">
        <f>E40*F40</f>
        <v>19720.703999999998</v>
      </c>
    </row>
    <row r="41" spans="1:12" ht="15.75" customHeight="1" thickBot="1">
      <c r="A41" s="141"/>
      <c r="B41" s="142"/>
      <c r="C41" s="143" t="s">
        <v>11</v>
      </c>
      <c r="D41" s="144"/>
      <c r="E41" s="145"/>
      <c r="F41" s="146"/>
      <c r="G41" s="145"/>
      <c r="H41" s="189"/>
      <c r="I41" s="5">
        <f>SUM(I36:I40)</f>
        <v>46370.08</v>
      </c>
      <c r="J41" s="2"/>
      <c r="K41" s="1">
        <f>SUM(K36:K40)</f>
        <v>36865.0434176</v>
      </c>
      <c r="L41" s="200">
        <f>K41*1.2577</f>
        <v>46365.16510631552</v>
      </c>
    </row>
    <row r="42" spans="1:9" s="83" customFormat="1" ht="15">
      <c r="A42" s="102"/>
      <c r="B42" s="147"/>
      <c r="C42" s="148"/>
      <c r="D42" s="147"/>
      <c r="E42" s="149"/>
      <c r="F42" s="201"/>
      <c r="G42" s="201"/>
      <c r="H42" s="201"/>
      <c r="I42" s="3"/>
    </row>
    <row r="43" spans="1:11" ht="15.75" thickBot="1">
      <c r="A43" s="102"/>
      <c r="B43" s="147"/>
      <c r="C43" s="148"/>
      <c r="D43" s="147"/>
      <c r="E43" s="149"/>
      <c r="F43" s="149"/>
      <c r="G43" s="189"/>
      <c r="H43" s="189"/>
      <c r="I43" s="4"/>
      <c r="K43" t="s">
        <v>177</v>
      </c>
    </row>
    <row r="44" spans="1:11" ht="15.75" customHeight="1" thickBot="1">
      <c r="A44" s="243" t="s">
        <v>285</v>
      </c>
      <c r="B44" s="244"/>
      <c r="C44" s="244"/>
      <c r="D44" s="244"/>
      <c r="E44" s="244"/>
      <c r="F44" s="244"/>
      <c r="G44" s="244"/>
      <c r="H44" s="244"/>
      <c r="I44" s="202">
        <f>I41+I34+I31+I13+I26</f>
        <v>240083.49</v>
      </c>
      <c r="K44">
        <f>L41+L34+L31+L26+L13</f>
        <v>240001.0462495621</v>
      </c>
    </row>
    <row r="45" spans="1:13" ht="15" customHeight="1">
      <c r="A45" s="234" t="s">
        <v>284</v>
      </c>
      <c r="B45" s="235"/>
      <c r="C45" s="235"/>
      <c r="D45" s="235"/>
      <c r="E45" s="235"/>
      <c r="F45" s="235"/>
      <c r="G45" s="235"/>
      <c r="H45" s="235"/>
      <c r="I45" s="236"/>
      <c r="M45" s="203"/>
    </row>
    <row r="46" spans="1:9" s="83" customFormat="1" ht="15">
      <c r="A46" s="237"/>
      <c r="B46" s="238"/>
      <c r="C46" s="238"/>
      <c r="D46" s="238"/>
      <c r="E46" s="238"/>
      <c r="F46" s="238"/>
      <c r="G46" s="238"/>
      <c r="H46" s="238"/>
      <c r="I46" s="239"/>
    </row>
    <row r="47" spans="1:9" s="83" customFormat="1" ht="15">
      <c r="A47" s="237"/>
      <c r="B47" s="238"/>
      <c r="C47" s="238"/>
      <c r="D47" s="238"/>
      <c r="E47" s="238"/>
      <c r="F47" s="238"/>
      <c r="G47" s="238"/>
      <c r="H47" s="238"/>
      <c r="I47" s="239"/>
    </row>
    <row r="48" spans="1:9" s="83" customFormat="1" ht="15">
      <c r="A48" s="237"/>
      <c r="B48" s="238"/>
      <c r="C48" s="238"/>
      <c r="D48" s="238"/>
      <c r="E48" s="238"/>
      <c r="F48" s="238"/>
      <c r="G48" s="238"/>
      <c r="H48" s="238"/>
      <c r="I48" s="239"/>
    </row>
    <row r="49" spans="1:9" s="83" customFormat="1" ht="15">
      <c r="A49" s="237"/>
      <c r="B49" s="238"/>
      <c r="C49" s="238"/>
      <c r="D49" s="238"/>
      <c r="E49" s="238"/>
      <c r="F49" s="238"/>
      <c r="G49" s="238"/>
      <c r="H49" s="238"/>
      <c r="I49" s="239"/>
    </row>
    <row r="50" spans="1:9" s="83" customFormat="1" ht="15">
      <c r="A50" s="237"/>
      <c r="B50" s="238"/>
      <c r="C50" s="238"/>
      <c r="D50" s="238"/>
      <c r="E50" s="238"/>
      <c r="F50" s="238"/>
      <c r="G50" s="238"/>
      <c r="H50" s="238"/>
      <c r="I50" s="239"/>
    </row>
    <row r="51" spans="1:9" s="83" customFormat="1" ht="15">
      <c r="A51" s="237"/>
      <c r="B51" s="238"/>
      <c r="C51" s="238"/>
      <c r="D51" s="238"/>
      <c r="E51" s="238"/>
      <c r="F51" s="238"/>
      <c r="G51" s="238"/>
      <c r="H51" s="238"/>
      <c r="I51" s="239"/>
    </row>
    <row r="52" spans="1:9" s="83" customFormat="1" ht="15">
      <c r="A52" s="237"/>
      <c r="B52" s="238"/>
      <c r="C52" s="238"/>
      <c r="D52" s="238"/>
      <c r="E52" s="238"/>
      <c r="F52" s="238"/>
      <c r="G52" s="238"/>
      <c r="H52" s="238"/>
      <c r="I52" s="239"/>
    </row>
    <row r="53" spans="1:9" ht="15">
      <c r="A53" s="237"/>
      <c r="B53" s="238"/>
      <c r="C53" s="238"/>
      <c r="D53" s="238"/>
      <c r="E53" s="238"/>
      <c r="F53" s="238"/>
      <c r="G53" s="238"/>
      <c r="H53" s="238"/>
      <c r="I53" s="239"/>
    </row>
    <row r="54" spans="1:9" ht="15">
      <c r="A54" s="240"/>
      <c r="B54" s="241"/>
      <c r="C54" s="241"/>
      <c r="D54" s="241"/>
      <c r="E54" s="241"/>
      <c r="F54" s="241"/>
      <c r="G54" s="241"/>
      <c r="H54" s="241"/>
      <c r="I54" s="242"/>
    </row>
  </sheetData>
  <sheetProtection/>
  <mergeCells count="13">
    <mergeCell ref="D5:I5"/>
    <mergeCell ref="D4:I4"/>
    <mergeCell ref="A4:B4"/>
    <mergeCell ref="C3:E3"/>
    <mergeCell ref="C6:I6"/>
    <mergeCell ref="A45:I54"/>
    <mergeCell ref="A44:H44"/>
    <mergeCell ref="A1:I1"/>
    <mergeCell ref="A2:B2"/>
    <mergeCell ref="C2:E2"/>
    <mergeCell ref="A3:B3"/>
    <mergeCell ref="F2:I2"/>
    <mergeCell ref="F3:I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223"/>
  <sheetViews>
    <sheetView zoomScale="85" zoomScaleNormal="85" zoomScalePageLayoutView="0" workbookViewId="0" topLeftCell="A151">
      <selection activeCell="R182" sqref="R182"/>
    </sheetView>
  </sheetViews>
  <sheetFormatPr defaultColWidth="9.140625" defaultRowHeight="15"/>
  <cols>
    <col min="1" max="1" width="6.28125" style="0" customWidth="1"/>
    <col min="2" max="2" width="21.421875" style="30" customWidth="1"/>
    <col min="3" max="13" width="9.140625" style="30" customWidth="1"/>
    <col min="14" max="14" width="13.8515625" style="30" bestFit="1" customWidth="1"/>
    <col min="16" max="17" width="11.57421875" style="0" bestFit="1" customWidth="1"/>
    <col min="18" max="18" width="16.421875" style="0" customWidth="1"/>
  </cols>
  <sheetData>
    <row r="2" spans="2:14" ht="15">
      <c r="B2" s="249" t="s">
        <v>151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</row>
    <row r="3" spans="2:14" s="83" customFormat="1" ht="15">
      <c r="B3" s="78" t="s">
        <v>76</v>
      </c>
      <c r="C3" s="252" t="s">
        <v>42</v>
      </c>
      <c r="D3" s="253"/>
      <c r="E3" s="253"/>
      <c r="F3" s="253"/>
      <c r="G3" s="253"/>
      <c r="H3" s="253"/>
      <c r="I3" s="253"/>
      <c r="J3" s="254"/>
      <c r="K3" s="78" t="s">
        <v>77</v>
      </c>
      <c r="L3" s="78" t="s">
        <v>43</v>
      </c>
      <c r="M3" s="78" t="s">
        <v>78</v>
      </c>
      <c r="N3" s="78" t="s">
        <v>79</v>
      </c>
    </row>
    <row r="4" spans="2:14" s="83" customFormat="1" ht="49.5" customHeight="1">
      <c r="B4" s="172" t="s">
        <v>239</v>
      </c>
      <c r="C4" s="245" t="s">
        <v>149</v>
      </c>
      <c r="D4" s="246"/>
      <c r="E4" s="246"/>
      <c r="F4" s="246"/>
      <c r="G4" s="246"/>
      <c r="H4" s="246"/>
      <c r="I4" s="246"/>
      <c r="J4" s="247"/>
      <c r="K4" s="100" t="s">
        <v>36</v>
      </c>
      <c r="L4" s="99">
        <v>1</v>
      </c>
      <c r="M4" s="99">
        <v>51.23</v>
      </c>
      <c r="N4" s="113">
        <f>ROUND(M4*L4,2)</f>
        <v>51.23</v>
      </c>
    </row>
    <row r="5" spans="2:14" s="83" customFormat="1" ht="30" customHeight="1">
      <c r="B5" s="172" t="s">
        <v>240</v>
      </c>
      <c r="C5" s="245" t="s">
        <v>143</v>
      </c>
      <c r="D5" s="246"/>
      <c r="E5" s="246"/>
      <c r="F5" s="246"/>
      <c r="G5" s="246"/>
      <c r="H5" s="246"/>
      <c r="I5" s="246"/>
      <c r="J5" s="247"/>
      <c r="K5" s="100" t="s">
        <v>6</v>
      </c>
      <c r="L5" s="99">
        <f>12.5*(0.11*0.31*0.17)</f>
        <v>0.0724625</v>
      </c>
      <c r="M5" s="99">
        <v>229.25</v>
      </c>
      <c r="N5" s="113">
        <f>ROUND(M5*L5,2)</f>
        <v>16.61</v>
      </c>
    </row>
    <row r="6" spans="2:14" s="83" customFormat="1" ht="15">
      <c r="B6" s="173" t="s">
        <v>241</v>
      </c>
      <c r="C6" s="245" t="s">
        <v>150</v>
      </c>
      <c r="D6" s="246"/>
      <c r="E6" s="246"/>
      <c r="F6" s="246"/>
      <c r="G6" s="246"/>
      <c r="H6" s="246"/>
      <c r="I6" s="246"/>
      <c r="J6" s="247"/>
      <c r="K6" s="100" t="s">
        <v>6</v>
      </c>
      <c r="L6" s="99">
        <f>12.5*(0.11*0.31*0.17)</f>
        <v>0.0724625</v>
      </c>
      <c r="M6" s="99">
        <v>92.1</v>
      </c>
      <c r="N6" s="113">
        <f>ROUND(M6*L6,2)</f>
        <v>6.67</v>
      </c>
    </row>
    <row r="7" spans="2:14" s="83" customFormat="1" ht="15">
      <c r="B7" s="114"/>
      <c r="C7" s="248"/>
      <c r="D7" s="248"/>
      <c r="E7" s="248"/>
      <c r="F7" s="248"/>
      <c r="G7" s="248"/>
      <c r="H7" s="150"/>
      <c r="I7" s="150"/>
      <c r="J7" s="150"/>
      <c r="K7" s="115"/>
      <c r="L7" s="116"/>
      <c r="M7" s="117" t="s">
        <v>79</v>
      </c>
      <c r="N7" s="126">
        <f>ROUND(SUM(N4:N6),2)</f>
        <v>74.51</v>
      </c>
    </row>
    <row r="8" spans="2:14" s="83" customFormat="1" ht="15">
      <c r="B8" s="118"/>
      <c r="C8" s="30"/>
      <c r="D8" s="118"/>
      <c r="E8" s="118"/>
      <c r="F8" s="118"/>
      <c r="G8" s="118"/>
      <c r="H8" s="118"/>
      <c r="I8" s="118"/>
      <c r="J8" s="118"/>
      <c r="K8" s="118"/>
      <c r="L8" s="118"/>
      <c r="M8" s="30"/>
      <c r="N8" s="30"/>
    </row>
    <row r="9" spans="2:16" s="79" customFormat="1" ht="30" customHeight="1">
      <c r="B9" s="249" t="s">
        <v>139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1"/>
      <c r="P9" s="79">
        <f>(1.6+1.6+1.2)/3</f>
        <v>1.4666666666666668</v>
      </c>
    </row>
    <row r="10" spans="2:14" ht="15">
      <c r="B10" s="78" t="s">
        <v>76</v>
      </c>
      <c r="C10" s="252" t="s">
        <v>42</v>
      </c>
      <c r="D10" s="253"/>
      <c r="E10" s="253"/>
      <c r="F10" s="253"/>
      <c r="G10" s="253"/>
      <c r="H10" s="253"/>
      <c r="I10" s="253"/>
      <c r="J10" s="254"/>
      <c r="K10" s="78" t="s">
        <v>77</v>
      </c>
      <c r="L10" s="78" t="s">
        <v>43</v>
      </c>
      <c r="M10" s="78" t="s">
        <v>78</v>
      </c>
      <c r="N10" s="78" t="s">
        <v>79</v>
      </c>
    </row>
    <row r="11" spans="2:17" ht="33" customHeight="1">
      <c r="B11" s="172" t="s">
        <v>242</v>
      </c>
      <c r="C11" s="245" t="s">
        <v>81</v>
      </c>
      <c r="D11" s="246"/>
      <c r="E11" s="246"/>
      <c r="F11" s="246"/>
      <c r="G11" s="246"/>
      <c r="H11" s="246"/>
      <c r="I11" s="246"/>
      <c r="J11" s="247"/>
      <c r="K11" s="100" t="s">
        <v>6</v>
      </c>
      <c r="L11" s="99">
        <f>0.4*1.67*1.4</f>
        <v>0.9352</v>
      </c>
      <c r="M11" s="99">
        <v>53.16</v>
      </c>
      <c r="N11" s="113">
        <f>ROUND(M11*L11,2)</f>
        <v>49.72</v>
      </c>
      <c r="Q11" s="98" t="s">
        <v>123</v>
      </c>
    </row>
    <row r="12" spans="2:17" ht="30" customHeight="1">
      <c r="B12" s="172" t="s">
        <v>222</v>
      </c>
      <c r="C12" s="245" t="s">
        <v>83</v>
      </c>
      <c r="D12" s="246"/>
      <c r="E12" s="246"/>
      <c r="F12" s="246"/>
      <c r="G12" s="246"/>
      <c r="H12" s="246"/>
      <c r="I12" s="246"/>
      <c r="J12" s="247"/>
      <c r="K12" s="100" t="s">
        <v>41</v>
      </c>
      <c r="L12" s="99">
        <f>L11*4</f>
        <v>3.7408</v>
      </c>
      <c r="M12" s="99">
        <v>1.38</v>
      </c>
      <c r="N12" s="113">
        <f aca="true" t="shared" si="0" ref="N12:N20">ROUND(M12*L12,2)</f>
        <v>5.16</v>
      </c>
      <c r="Q12" s="98" t="s">
        <v>118</v>
      </c>
    </row>
    <row r="13" spans="2:17" ht="30" customHeight="1">
      <c r="B13" s="172" t="s">
        <v>229</v>
      </c>
      <c r="C13" s="245" t="s">
        <v>21</v>
      </c>
      <c r="D13" s="246"/>
      <c r="E13" s="246"/>
      <c r="F13" s="246"/>
      <c r="G13" s="246"/>
      <c r="H13" s="246"/>
      <c r="I13" s="246"/>
      <c r="J13" s="247"/>
      <c r="K13" s="100" t="s">
        <v>6</v>
      </c>
      <c r="L13" s="99">
        <f>L11</f>
        <v>0.9352</v>
      </c>
      <c r="M13" s="99">
        <v>1.53</v>
      </c>
      <c r="N13" s="113">
        <f t="shared" si="0"/>
        <v>1.43</v>
      </c>
      <c r="Q13" s="98" t="s">
        <v>119</v>
      </c>
    </row>
    <row r="14" spans="2:17" s="83" customFormat="1" ht="30.75" customHeight="1">
      <c r="B14" s="172" t="s">
        <v>243</v>
      </c>
      <c r="C14" s="245" t="s">
        <v>140</v>
      </c>
      <c r="D14" s="246"/>
      <c r="E14" s="246"/>
      <c r="F14" s="246"/>
      <c r="G14" s="246"/>
      <c r="H14" s="246"/>
      <c r="I14" s="246"/>
      <c r="J14" s="247"/>
      <c r="K14" s="100" t="s">
        <v>36</v>
      </c>
      <c r="L14" s="99">
        <f>1.4*1.4</f>
        <v>1.9599999999999997</v>
      </c>
      <c r="M14" s="99">
        <v>17.85</v>
      </c>
      <c r="N14" s="113">
        <f t="shared" si="0"/>
        <v>34.99</v>
      </c>
      <c r="Q14" s="98" t="s">
        <v>120</v>
      </c>
    </row>
    <row r="15" spans="2:17" s="83" customFormat="1" ht="30">
      <c r="B15" s="172" t="s">
        <v>244</v>
      </c>
      <c r="C15" s="245" t="s">
        <v>106</v>
      </c>
      <c r="D15" s="246"/>
      <c r="E15" s="246"/>
      <c r="F15" s="246"/>
      <c r="G15" s="246"/>
      <c r="H15" s="246"/>
      <c r="I15" s="246"/>
      <c r="J15" s="247"/>
      <c r="K15" s="100" t="s">
        <v>6</v>
      </c>
      <c r="L15" s="99">
        <f>2*0.2*1.4*1.27+1*1.27*2*0.2-2*3.1416*0.6*0.6*0.25*0.2</f>
        <v>1.1061024</v>
      </c>
      <c r="M15" s="99">
        <f>248.34+92.1</f>
        <v>340.44</v>
      </c>
      <c r="N15" s="113">
        <f>ROUND(M15*L15,2)</f>
        <v>376.56</v>
      </c>
      <c r="Q15" s="98" t="s">
        <v>129</v>
      </c>
    </row>
    <row r="16" spans="2:17" ht="30">
      <c r="B16" s="172" t="s">
        <v>244</v>
      </c>
      <c r="C16" s="245" t="s">
        <v>104</v>
      </c>
      <c r="D16" s="246"/>
      <c r="E16" s="246"/>
      <c r="F16" s="246"/>
      <c r="G16" s="246"/>
      <c r="H16" s="246"/>
      <c r="I16" s="246"/>
      <c r="J16" s="247"/>
      <c r="K16" s="100" t="s">
        <v>6</v>
      </c>
      <c r="L16" s="99">
        <f>0.2*1.7*1.7-3.1416*0.6*0.6*0.25*0.2+1.4*1.4*0.2</f>
        <v>0.9134512000000001</v>
      </c>
      <c r="M16" s="99">
        <f>248.34+92.1</f>
        <v>340.44</v>
      </c>
      <c r="N16" s="113">
        <f t="shared" si="0"/>
        <v>310.98</v>
      </c>
      <c r="Q16" s="98" t="s">
        <v>121</v>
      </c>
    </row>
    <row r="17" spans="2:17" ht="30" customHeight="1">
      <c r="B17" s="172" t="s">
        <v>245</v>
      </c>
      <c r="C17" s="245" t="s">
        <v>145</v>
      </c>
      <c r="D17" s="246"/>
      <c r="E17" s="246"/>
      <c r="F17" s="246"/>
      <c r="G17" s="246"/>
      <c r="H17" s="246"/>
      <c r="I17" s="246"/>
      <c r="J17" s="247"/>
      <c r="K17" s="100" t="s">
        <v>37</v>
      </c>
      <c r="L17" s="99">
        <f>(0.1*1.7*1.7-3.1416*0.6*0.6*0.25*0.1+L15)*70</f>
        <v>95.67796</v>
      </c>
      <c r="M17" s="99">
        <v>4.55</v>
      </c>
      <c r="N17" s="113">
        <f t="shared" si="0"/>
        <v>435.33</v>
      </c>
      <c r="Q17" s="98" t="s">
        <v>132</v>
      </c>
    </row>
    <row r="18" spans="2:17" ht="63" customHeight="1">
      <c r="B18" s="172" t="s">
        <v>246</v>
      </c>
      <c r="C18" s="245" t="s">
        <v>146</v>
      </c>
      <c r="D18" s="246"/>
      <c r="E18" s="246"/>
      <c r="F18" s="246"/>
      <c r="G18" s="246"/>
      <c r="H18" s="246"/>
      <c r="I18" s="246"/>
      <c r="J18" s="247"/>
      <c r="K18" s="100" t="s">
        <v>36</v>
      </c>
      <c r="L18" s="99">
        <f>1.4*1.27*4+1*1.27*4-4*3.1416*0.6*0.6*0.25</f>
        <v>11.061024</v>
      </c>
      <c r="M18" s="99">
        <v>39.5</v>
      </c>
      <c r="N18" s="113">
        <f t="shared" si="0"/>
        <v>436.91</v>
      </c>
      <c r="Q18" s="98" t="s">
        <v>122</v>
      </c>
    </row>
    <row r="19" spans="2:14" s="83" customFormat="1" ht="15">
      <c r="B19" s="172" t="s">
        <v>247</v>
      </c>
      <c r="C19" s="245" t="s">
        <v>142</v>
      </c>
      <c r="D19" s="246"/>
      <c r="E19" s="246"/>
      <c r="F19" s="246"/>
      <c r="G19" s="246"/>
      <c r="H19" s="246"/>
      <c r="I19" s="246"/>
      <c r="J19" s="247"/>
      <c r="K19" s="100" t="s">
        <v>80</v>
      </c>
      <c r="L19" s="99">
        <v>1</v>
      </c>
      <c r="M19" s="99">
        <v>394.23</v>
      </c>
      <c r="N19" s="113">
        <f t="shared" si="0"/>
        <v>394.23</v>
      </c>
    </row>
    <row r="20" spans="2:14" ht="15">
      <c r="B20" s="172" t="s">
        <v>248</v>
      </c>
      <c r="C20" s="245" t="s">
        <v>82</v>
      </c>
      <c r="D20" s="246"/>
      <c r="E20" s="246"/>
      <c r="F20" s="246"/>
      <c r="G20" s="246"/>
      <c r="H20" s="246"/>
      <c r="I20" s="246"/>
      <c r="J20" s="247"/>
      <c r="K20" s="100" t="s">
        <v>80</v>
      </c>
      <c r="L20" s="99">
        <v>1</v>
      </c>
      <c r="M20" s="99">
        <v>72</v>
      </c>
      <c r="N20" s="113">
        <f t="shared" si="0"/>
        <v>72</v>
      </c>
    </row>
    <row r="21" spans="2:14" ht="15">
      <c r="B21" s="114"/>
      <c r="C21" s="248"/>
      <c r="D21" s="248"/>
      <c r="E21" s="248"/>
      <c r="F21" s="248"/>
      <c r="G21" s="248"/>
      <c r="H21" s="150"/>
      <c r="I21" s="150"/>
      <c r="J21" s="150"/>
      <c r="K21" s="115"/>
      <c r="L21" s="116"/>
      <c r="M21" s="117" t="s">
        <v>79</v>
      </c>
      <c r="N21" s="126">
        <f>SUM(N11:N20)</f>
        <v>2117.3100000000004</v>
      </c>
    </row>
    <row r="22" spans="2:14" s="83" customFormat="1" ht="15">
      <c r="B22" s="114"/>
      <c r="C22" s="150"/>
      <c r="D22" s="150"/>
      <c r="E22" s="150"/>
      <c r="F22" s="150"/>
      <c r="G22" s="150"/>
      <c r="H22" s="150"/>
      <c r="I22" s="150"/>
      <c r="J22" s="150"/>
      <c r="K22" s="115"/>
      <c r="L22" s="119"/>
      <c r="M22" s="120"/>
      <c r="N22" s="121"/>
    </row>
    <row r="23" spans="2:16" s="79" customFormat="1" ht="30" customHeight="1">
      <c r="B23" s="249" t="s">
        <v>174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1"/>
      <c r="P23" s="79">
        <v>2.1</v>
      </c>
    </row>
    <row r="24" spans="2:14" s="83" customFormat="1" ht="15">
      <c r="B24" s="78" t="s">
        <v>76</v>
      </c>
      <c r="C24" s="252" t="s">
        <v>42</v>
      </c>
      <c r="D24" s="253"/>
      <c r="E24" s="253"/>
      <c r="F24" s="253"/>
      <c r="G24" s="253"/>
      <c r="H24" s="253"/>
      <c r="I24" s="253"/>
      <c r="J24" s="254"/>
      <c r="K24" s="78" t="s">
        <v>77</v>
      </c>
      <c r="L24" s="78" t="s">
        <v>43</v>
      </c>
      <c r="M24" s="78" t="s">
        <v>78</v>
      </c>
      <c r="N24" s="78" t="s">
        <v>79</v>
      </c>
    </row>
    <row r="25" spans="2:17" s="83" customFormat="1" ht="30" customHeight="1">
      <c r="B25" s="172" t="str">
        <f aca="true" t="shared" si="1" ref="B25:B34">B11</f>
        <v>SINAPI-93358</v>
      </c>
      <c r="C25" s="245" t="s">
        <v>81</v>
      </c>
      <c r="D25" s="246"/>
      <c r="E25" s="246"/>
      <c r="F25" s="246"/>
      <c r="G25" s="246"/>
      <c r="H25" s="246"/>
      <c r="I25" s="246"/>
      <c r="J25" s="247"/>
      <c r="K25" s="100" t="s">
        <v>6</v>
      </c>
      <c r="L25" s="99">
        <f>0.4*2.1*1.6</f>
        <v>1.3440000000000003</v>
      </c>
      <c r="M25" s="99">
        <f>M11</f>
        <v>53.16</v>
      </c>
      <c r="N25" s="113">
        <f aca="true" t="shared" si="2" ref="N25:N34">ROUND(M25*L25,2)</f>
        <v>71.45</v>
      </c>
      <c r="Q25" s="98" t="s">
        <v>123</v>
      </c>
    </row>
    <row r="26" spans="2:17" s="83" customFormat="1" ht="30" customHeight="1">
      <c r="B26" s="172" t="str">
        <f t="shared" si="1"/>
        <v>SINAPI-95302</v>
      </c>
      <c r="C26" s="245" t="s">
        <v>83</v>
      </c>
      <c r="D26" s="246"/>
      <c r="E26" s="246"/>
      <c r="F26" s="246"/>
      <c r="G26" s="246"/>
      <c r="H26" s="246"/>
      <c r="I26" s="246"/>
      <c r="J26" s="247"/>
      <c r="K26" s="100" t="s">
        <v>41</v>
      </c>
      <c r="L26" s="99">
        <f>L25*4</f>
        <v>5.376000000000001</v>
      </c>
      <c r="M26" s="99">
        <f>M12</f>
        <v>1.38</v>
      </c>
      <c r="N26" s="113">
        <f t="shared" si="2"/>
        <v>7.42</v>
      </c>
      <c r="Q26" s="98" t="s">
        <v>118</v>
      </c>
    </row>
    <row r="27" spans="2:17" s="83" customFormat="1" ht="30" customHeight="1">
      <c r="B27" s="172" t="str">
        <f t="shared" si="1"/>
        <v>SINAPI-74010/001</v>
      </c>
      <c r="C27" s="245" t="s">
        <v>21</v>
      </c>
      <c r="D27" s="246"/>
      <c r="E27" s="246"/>
      <c r="F27" s="246"/>
      <c r="G27" s="246"/>
      <c r="H27" s="246"/>
      <c r="I27" s="246"/>
      <c r="J27" s="247"/>
      <c r="K27" s="100" t="s">
        <v>6</v>
      </c>
      <c r="L27" s="99">
        <f>L25</f>
        <v>1.3440000000000003</v>
      </c>
      <c r="M27" s="99">
        <f>M13</f>
        <v>1.53</v>
      </c>
      <c r="N27" s="113">
        <f t="shared" si="2"/>
        <v>2.06</v>
      </c>
      <c r="Q27" s="98" t="s">
        <v>119</v>
      </c>
    </row>
    <row r="28" spans="2:17" s="83" customFormat="1" ht="36" customHeight="1">
      <c r="B28" s="172" t="str">
        <f t="shared" si="1"/>
        <v>SINAPI-95241</v>
      </c>
      <c r="C28" s="245" t="s">
        <v>140</v>
      </c>
      <c r="D28" s="246"/>
      <c r="E28" s="246"/>
      <c r="F28" s="246"/>
      <c r="G28" s="246"/>
      <c r="H28" s="246"/>
      <c r="I28" s="246"/>
      <c r="J28" s="247"/>
      <c r="K28" s="100" t="s">
        <v>36</v>
      </c>
      <c r="L28" s="99">
        <f>1.6*1.6</f>
        <v>2.5600000000000005</v>
      </c>
      <c r="M28" s="99">
        <f>M14</f>
        <v>17.85</v>
      </c>
      <c r="N28" s="113">
        <f t="shared" si="2"/>
        <v>45.7</v>
      </c>
      <c r="Q28" s="98" t="s">
        <v>120</v>
      </c>
    </row>
    <row r="29" spans="2:17" s="83" customFormat="1" ht="43.5" customHeight="1">
      <c r="B29" s="172" t="str">
        <f t="shared" si="1"/>
        <v>SINAPI-(94964 + 74157/004)</v>
      </c>
      <c r="C29" s="245" t="s">
        <v>106</v>
      </c>
      <c r="D29" s="246"/>
      <c r="E29" s="246"/>
      <c r="F29" s="246"/>
      <c r="G29" s="246"/>
      <c r="H29" s="246"/>
      <c r="I29" s="246"/>
      <c r="J29" s="247"/>
      <c r="K29" s="100" t="s">
        <v>6</v>
      </c>
      <c r="L29" s="99">
        <f>(1.6*1.9*2*0.2)+(1.2*1.9*2*0.2)-(2*3.1415*0.9*0.9*0.25*0.2)</f>
        <v>1.8735385</v>
      </c>
      <c r="M29" s="99">
        <f>M16</f>
        <v>340.44</v>
      </c>
      <c r="N29" s="113">
        <f t="shared" si="2"/>
        <v>637.83</v>
      </c>
      <c r="Q29" s="98" t="s">
        <v>129</v>
      </c>
    </row>
    <row r="30" spans="2:17" s="83" customFormat="1" ht="45" customHeight="1">
      <c r="B30" s="172" t="str">
        <f t="shared" si="1"/>
        <v>SINAPI-(94964 + 74157/004)</v>
      </c>
      <c r="C30" s="245" t="s">
        <v>104</v>
      </c>
      <c r="D30" s="246"/>
      <c r="E30" s="246"/>
      <c r="F30" s="246"/>
      <c r="G30" s="246"/>
      <c r="H30" s="246"/>
      <c r="I30" s="246"/>
      <c r="J30" s="247"/>
      <c r="K30" s="100" t="s">
        <v>6</v>
      </c>
      <c r="L30" s="99">
        <f>0.1*1.9*1.9-3.1416*0.6*0.6*0.25*0.1+0.1*1.9*1.9+1.6*1.6*0.2</f>
        <v>1.2057256</v>
      </c>
      <c r="M30" s="99">
        <f>M16</f>
        <v>340.44</v>
      </c>
      <c r="N30" s="113">
        <f t="shared" si="2"/>
        <v>410.48</v>
      </c>
      <c r="Q30" s="98" t="s">
        <v>121</v>
      </c>
    </row>
    <row r="31" spans="2:17" s="83" customFormat="1" ht="30" customHeight="1">
      <c r="B31" s="172" t="str">
        <f t="shared" si="1"/>
        <v>SINAPI-92794</v>
      </c>
      <c r="C31" s="245" t="s">
        <v>145</v>
      </c>
      <c r="D31" s="246"/>
      <c r="E31" s="246"/>
      <c r="F31" s="246"/>
      <c r="G31" s="246"/>
      <c r="H31" s="246"/>
      <c r="I31" s="246"/>
      <c r="J31" s="247"/>
      <c r="K31" s="100" t="s">
        <v>37</v>
      </c>
      <c r="L31" s="99">
        <f>(0.1*1.9*1.9-3.1416*0.6*0.6*0.25*0.1+L29)*70</f>
        <v>154.43848699999998</v>
      </c>
      <c r="M31" s="99">
        <f>M17</f>
        <v>4.55</v>
      </c>
      <c r="N31" s="113">
        <f t="shared" si="2"/>
        <v>702.7</v>
      </c>
      <c r="Q31" s="98" t="s">
        <v>132</v>
      </c>
    </row>
    <row r="32" spans="2:17" s="83" customFormat="1" ht="45.75" customHeight="1">
      <c r="B32" s="172" t="str">
        <f t="shared" si="1"/>
        <v>SINAPI-92423</v>
      </c>
      <c r="C32" s="245" t="s">
        <v>146</v>
      </c>
      <c r="D32" s="246"/>
      <c r="E32" s="246"/>
      <c r="F32" s="246"/>
      <c r="G32" s="246"/>
      <c r="H32" s="246"/>
      <c r="I32" s="246"/>
      <c r="J32" s="247"/>
      <c r="K32" s="100" t="s">
        <v>36</v>
      </c>
      <c r="L32" s="99">
        <f>(1.6*1.8*2+1.2*1.8*2)*2</f>
        <v>20.160000000000004</v>
      </c>
      <c r="M32" s="99">
        <f>M18</f>
        <v>39.5</v>
      </c>
      <c r="N32" s="113">
        <f t="shared" si="2"/>
        <v>796.32</v>
      </c>
      <c r="Q32" s="98" t="s">
        <v>122</v>
      </c>
    </row>
    <row r="33" spans="2:14" s="83" customFormat="1" ht="33" customHeight="1">
      <c r="B33" s="172" t="str">
        <f t="shared" si="1"/>
        <v>SINAPI-21090</v>
      </c>
      <c r="C33" s="245" t="s">
        <v>142</v>
      </c>
      <c r="D33" s="246"/>
      <c r="E33" s="246"/>
      <c r="F33" s="246"/>
      <c r="G33" s="246"/>
      <c r="H33" s="246"/>
      <c r="I33" s="246"/>
      <c r="J33" s="247"/>
      <c r="K33" s="100" t="s">
        <v>80</v>
      </c>
      <c r="L33" s="99">
        <v>1</v>
      </c>
      <c r="M33" s="99">
        <f>M19</f>
        <v>394.23</v>
      </c>
      <c r="N33" s="113">
        <f t="shared" si="2"/>
        <v>394.23</v>
      </c>
    </row>
    <row r="34" spans="2:14" s="83" customFormat="1" ht="31.5" customHeight="1">
      <c r="B34" s="172" t="str">
        <f t="shared" si="1"/>
        <v>SINAPI-73607</v>
      </c>
      <c r="C34" s="245" t="s">
        <v>82</v>
      </c>
      <c r="D34" s="246"/>
      <c r="E34" s="246"/>
      <c r="F34" s="246"/>
      <c r="G34" s="246"/>
      <c r="H34" s="246"/>
      <c r="I34" s="246"/>
      <c r="J34" s="247"/>
      <c r="K34" s="100" t="s">
        <v>80</v>
      </c>
      <c r="L34" s="99">
        <v>1</v>
      </c>
      <c r="M34" s="99">
        <f>M20</f>
        <v>72</v>
      </c>
      <c r="N34" s="113">
        <f t="shared" si="2"/>
        <v>72</v>
      </c>
    </row>
    <row r="35" spans="2:14" s="83" customFormat="1" ht="15">
      <c r="B35" s="114"/>
      <c r="C35" s="248"/>
      <c r="D35" s="248"/>
      <c r="E35" s="248"/>
      <c r="F35" s="248"/>
      <c r="G35" s="248"/>
      <c r="H35" s="150"/>
      <c r="I35" s="150"/>
      <c r="J35" s="150"/>
      <c r="K35" s="115"/>
      <c r="L35" s="116"/>
      <c r="M35" s="117" t="s">
        <v>79</v>
      </c>
      <c r="N35" s="126">
        <f>SUM(N25:N34)</f>
        <v>3140.19</v>
      </c>
    </row>
    <row r="36" spans="2:14" s="83" customFormat="1" ht="15">
      <c r="B36" s="114"/>
      <c r="C36" s="150"/>
      <c r="D36" s="150"/>
      <c r="E36" s="150"/>
      <c r="F36" s="150"/>
      <c r="G36" s="150"/>
      <c r="H36" s="150"/>
      <c r="I36" s="150"/>
      <c r="J36" s="150"/>
      <c r="K36" s="115"/>
      <c r="L36" s="119"/>
      <c r="M36" s="120"/>
      <c r="N36" s="121"/>
    </row>
    <row r="37" spans="2:14" s="83" customFormat="1" ht="15">
      <c r="B37" s="114"/>
      <c r="C37" s="150"/>
      <c r="D37" s="150"/>
      <c r="E37" s="150"/>
      <c r="F37" s="150"/>
      <c r="G37" s="150"/>
      <c r="H37" s="150"/>
      <c r="I37" s="150"/>
      <c r="J37" s="150"/>
      <c r="K37" s="115"/>
      <c r="L37" s="119"/>
      <c r="M37" s="120"/>
      <c r="N37" s="122"/>
    </row>
    <row r="38" spans="2:17" s="79" customFormat="1" ht="30" customHeight="1">
      <c r="B38" s="249" t="s">
        <v>173</v>
      </c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1"/>
      <c r="Q38" s="127" t="e">
        <f>(SUM(#REF!,#REF!))/9</f>
        <v>#REF!</v>
      </c>
    </row>
    <row r="39" spans="2:14" s="83" customFormat="1" ht="15">
      <c r="B39" s="78" t="s">
        <v>76</v>
      </c>
      <c r="C39" s="252" t="s">
        <v>42</v>
      </c>
      <c r="D39" s="253"/>
      <c r="E39" s="253"/>
      <c r="F39" s="253"/>
      <c r="G39" s="253"/>
      <c r="H39" s="253"/>
      <c r="I39" s="253"/>
      <c r="J39" s="254"/>
      <c r="K39" s="78" t="s">
        <v>77</v>
      </c>
      <c r="L39" s="78" t="s">
        <v>43</v>
      </c>
      <c r="M39" s="78" t="s">
        <v>78</v>
      </c>
      <c r="N39" s="78" t="s">
        <v>79</v>
      </c>
    </row>
    <row r="40" spans="2:17" s="83" customFormat="1" ht="39.75" customHeight="1">
      <c r="B40" s="172" t="str">
        <f>B25</f>
        <v>SINAPI-93358</v>
      </c>
      <c r="C40" s="245" t="s">
        <v>81</v>
      </c>
      <c r="D40" s="246"/>
      <c r="E40" s="246"/>
      <c r="F40" s="246"/>
      <c r="G40" s="246"/>
      <c r="H40" s="246"/>
      <c r="I40" s="246"/>
      <c r="J40" s="247"/>
      <c r="K40" s="100" t="s">
        <v>6</v>
      </c>
      <c r="L40" s="99">
        <f>0.4*2*2.99</f>
        <v>2.3920000000000003</v>
      </c>
      <c r="M40" s="99">
        <f aca="true" t="shared" si="3" ref="M40:M49">M11</f>
        <v>53.16</v>
      </c>
      <c r="N40" s="113">
        <f>ROUND(M40*L40,2)</f>
        <v>127.16</v>
      </c>
      <c r="Q40" s="98" t="s">
        <v>123</v>
      </c>
    </row>
    <row r="41" spans="2:17" s="83" customFormat="1" ht="33.75" customHeight="1">
      <c r="B41" s="172" t="str">
        <f>B12</f>
        <v>SINAPI-95302</v>
      </c>
      <c r="C41" s="245" t="s">
        <v>83</v>
      </c>
      <c r="D41" s="246"/>
      <c r="E41" s="246"/>
      <c r="F41" s="246"/>
      <c r="G41" s="246"/>
      <c r="H41" s="246"/>
      <c r="I41" s="246"/>
      <c r="J41" s="247"/>
      <c r="K41" s="100" t="s">
        <v>41</v>
      </c>
      <c r="L41" s="99">
        <f>L40*4</f>
        <v>9.568000000000001</v>
      </c>
      <c r="M41" s="99">
        <f t="shared" si="3"/>
        <v>1.38</v>
      </c>
      <c r="N41" s="113">
        <f aca="true" t="shared" si="4" ref="N41:N49">ROUND(M41*L41,2)</f>
        <v>13.2</v>
      </c>
      <c r="Q41" s="98" t="s">
        <v>118</v>
      </c>
    </row>
    <row r="42" spans="2:17" s="83" customFormat="1" ht="15">
      <c r="B42" s="172" t="str">
        <f>B13</f>
        <v>SINAPI-74010/001</v>
      </c>
      <c r="C42" s="245" t="s">
        <v>21</v>
      </c>
      <c r="D42" s="246"/>
      <c r="E42" s="246"/>
      <c r="F42" s="246"/>
      <c r="G42" s="246"/>
      <c r="H42" s="246"/>
      <c r="I42" s="246"/>
      <c r="J42" s="247"/>
      <c r="K42" s="100" t="s">
        <v>6</v>
      </c>
      <c r="L42" s="99">
        <f>L40</f>
        <v>2.3920000000000003</v>
      </c>
      <c r="M42" s="99">
        <f t="shared" si="3"/>
        <v>1.53</v>
      </c>
      <c r="N42" s="113">
        <f t="shared" si="4"/>
        <v>3.66</v>
      </c>
      <c r="Q42" s="98" t="s">
        <v>119</v>
      </c>
    </row>
    <row r="43" spans="2:17" s="83" customFormat="1" ht="39.75" customHeight="1">
      <c r="B43" s="172" t="str">
        <f>B28</f>
        <v>SINAPI-95241</v>
      </c>
      <c r="C43" s="245" t="s">
        <v>140</v>
      </c>
      <c r="D43" s="246"/>
      <c r="E43" s="246"/>
      <c r="F43" s="246"/>
      <c r="G43" s="246"/>
      <c r="H43" s="246"/>
      <c r="I43" s="246"/>
      <c r="J43" s="247"/>
      <c r="K43" s="100" t="s">
        <v>36</v>
      </c>
      <c r="L43" s="99">
        <f>2*2</f>
        <v>4</v>
      </c>
      <c r="M43" s="99">
        <f t="shared" si="3"/>
        <v>17.85</v>
      </c>
      <c r="N43" s="113">
        <f t="shared" si="4"/>
        <v>71.4</v>
      </c>
      <c r="Q43" s="98" t="s">
        <v>120</v>
      </c>
    </row>
    <row r="44" spans="2:17" s="83" customFormat="1" ht="44.25" customHeight="1">
      <c r="B44" s="172" t="str">
        <f>B29</f>
        <v>SINAPI-(94964 + 74157/004)</v>
      </c>
      <c r="C44" s="245" t="s">
        <v>106</v>
      </c>
      <c r="D44" s="246"/>
      <c r="E44" s="246"/>
      <c r="F44" s="246"/>
      <c r="G44" s="246"/>
      <c r="H44" s="246"/>
      <c r="I44" s="246"/>
      <c r="J44" s="247"/>
      <c r="K44" s="100" t="s">
        <v>6</v>
      </c>
      <c r="L44" s="99">
        <f>2*2.59*2*0.2+1.6*2.59*2*0.2-2*3.1416*1.2*1.2*0.25*0.2</f>
        <v>3.2772096000000004</v>
      </c>
      <c r="M44" s="99">
        <f t="shared" si="3"/>
        <v>340.44</v>
      </c>
      <c r="N44" s="113">
        <f t="shared" si="4"/>
        <v>1115.69</v>
      </c>
      <c r="Q44" s="98" t="s">
        <v>129</v>
      </c>
    </row>
    <row r="45" spans="2:17" s="83" customFormat="1" ht="43.5" customHeight="1">
      <c r="B45" s="172" t="str">
        <f>B16</f>
        <v>SINAPI-(94964 + 74157/004)</v>
      </c>
      <c r="C45" s="245" t="s">
        <v>104</v>
      </c>
      <c r="D45" s="246"/>
      <c r="E45" s="246"/>
      <c r="F45" s="246"/>
      <c r="G45" s="246"/>
      <c r="H45" s="246"/>
      <c r="I45" s="246"/>
      <c r="J45" s="247"/>
      <c r="K45" s="100" t="s">
        <v>6</v>
      </c>
      <c r="L45" s="99">
        <f>0.2*2.3*2.3-3.1416*0.6*0.6*0.25*0.2+2*2*0.2</f>
        <v>1.8014511999999998</v>
      </c>
      <c r="M45" s="99">
        <f t="shared" si="3"/>
        <v>340.44</v>
      </c>
      <c r="N45" s="113">
        <f t="shared" si="4"/>
        <v>613.29</v>
      </c>
      <c r="Q45" s="98" t="s">
        <v>121</v>
      </c>
    </row>
    <row r="46" spans="2:17" s="83" customFormat="1" ht="27.75" customHeight="1">
      <c r="B46" s="172" t="str">
        <f>B31</f>
        <v>SINAPI-92794</v>
      </c>
      <c r="C46" s="245" t="s">
        <v>145</v>
      </c>
      <c r="D46" s="246"/>
      <c r="E46" s="246"/>
      <c r="F46" s="246"/>
      <c r="G46" s="246"/>
      <c r="H46" s="246"/>
      <c r="I46" s="246"/>
      <c r="J46" s="247"/>
      <c r="K46" s="100" t="s">
        <v>37</v>
      </c>
      <c r="L46" s="99">
        <f>(0.1*2.3*2.3-3.1416*0.6*0.6*0.25*0.1+L44)*70</f>
        <v>264.455464</v>
      </c>
      <c r="M46" s="99">
        <f t="shared" si="3"/>
        <v>4.55</v>
      </c>
      <c r="N46" s="113">
        <f t="shared" si="4"/>
        <v>1203.27</v>
      </c>
      <c r="Q46" s="98" t="s">
        <v>132</v>
      </c>
    </row>
    <row r="47" spans="2:17" s="83" customFormat="1" ht="63.75" customHeight="1">
      <c r="B47" s="172" t="str">
        <f>B32</f>
        <v>SINAPI-92423</v>
      </c>
      <c r="C47" s="245" t="s">
        <v>148</v>
      </c>
      <c r="D47" s="246"/>
      <c r="E47" s="246"/>
      <c r="F47" s="246"/>
      <c r="G47" s="246"/>
      <c r="H47" s="246"/>
      <c r="I47" s="246"/>
      <c r="J47" s="247"/>
      <c r="K47" s="100" t="s">
        <v>36</v>
      </c>
      <c r="L47" s="99">
        <f>2*2.59*4+1.6*2.59*4-4*3.1416*1.2*1.2*0.25</f>
        <v>32.772096</v>
      </c>
      <c r="M47" s="99">
        <f t="shared" si="3"/>
        <v>39.5</v>
      </c>
      <c r="N47" s="113">
        <f t="shared" si="4"/>
        <v>1294.5</v>
      </c>
      <c r="Q47" s="98" t="s">
        <v>122</v>
      </c>
    </row>
    <row r="48" spans="2:14" s="83" customFormat="1" ht="33.75" customHeight="1">
      <c r="B48" s="172" t="str">
        <f>B33</f>
        <v>SINAPI-21090</v>
      </c>
      <c r="C48" s="245" t="s">
        <v>142</v>
      </c>
      <c r="D48" s="246"/>
      <c r="E48" s="246"/>
      <c r="F48" s="246"/>
      <c r="G48" s="246"/>
      <c r="H48" s="246"/>
      <c r="I48" s="246"/>
      <c r="J48" s="247"/>
      <c r="K48" s="100" t="s">
        <v>80</v>
      </c>
      <c r="L48" s="99">
        <v>1</v>
      </c>
      <c r="M48" s="99">
        <f t="shared" si="3"/>
        <v>394.23</v>
      </c>
      <c r="N48" s="113">
        <f t="shared" si="4"/>
        <v>394.23</v>
      </c>
    </row>
    <row r="49" spans="2:14" s="83" customFormat="1" ht="30.75" customHeight="1">
      <c r="B49" s="172" t="str">
        <f>B34</f>
        <v>SINAPI-73607</v>
      </c>
      <c r="C49" s="245" t="s">
        <v>82</v>
      </c>
      <c r="D49" s="246"/>
      <c r="E49" s="246"/>
      <c r="F49" s="246"/>
      <c r="G49" s="246"/>
      <c r="H49" s="246"/>
      <c r="I49" s="246"/>
      <c r="J49" s="247"/>
      <c r="K49" s="100" t="s">
        <v>80</v>
      </c>
      <c r="L49" s="99">
        <v>1</v>
      </c>
      <c r="M49" s="99">
        <f t="shared" si="3"/>
        <v>72</v>
      </c>
      <c r="N49" s="113">
        <f t="shared" si="4"/>
        <v>72</v>
      </c>
    </row>
    <row r="50" spans="2:15" s="83" customFormat="1" ht="15">
      <c r="B50" s="114"/>
      <c r="C50" s="248"/>
      <c r="D50" s="248"/>
      <c r="E50" s="248"/>
      <c r="F50" s="248"/>
      <c r="G50" s="248"/>
      <c r="H50" s="150"/>
      <c r="I50" s="150"/>
      <c r="J50" s="150"/>
      <c r="K50" s="115"/>
      <c r="L50" s="116"/>
      <c r="M50" s="117" t="s">
        <v>79</v>
      </c>
      <c r="N50" s="126">
        <f>SUM(N40:N49)</f>
        <v>4908.4</v>
      </c>
      <c r="O50" s="83">
        <v>3753.38</v>
      </c>
    </row>
    <row r="51" spans="2:14" s="83" customFormat="1" ht="15">
      <c r="B51" s="114"/>
      <c r="C51" s="150"/>
      <c r="D51" s="150"/>
      <c r="E51" s="150"/>
      <c r="F51" s="150"/>
      <c r="G51" s="150"/>
      <c r="H51" s="150"/>
      <c r="I51" s="150"/>
      <c r="J51" s="150"/>
      <c r="K51" s="115"/>
      <c r="L51" s="119"/>
      <c r="M51" s="120"/>
      <c r="N51" s="122"/>
    </row>
    <row r="52" spans="2:14" s="83" customFormat="1" ht="15">
      <c r="B52" s="114"/>
      <c r="C52" s="150"/>
      <c r="D52" s="150"/>
      <c r="E52" s="150"/>
      <c r="F52" s="150"/>
      <c r="G52" s="150"/>
      <c r="H52" s="150"/>
      <c r="I52" s="150"/>
      <c r="J52" s="150"/>
      <c r="K52" s="115"/>
      <c r="L52" s="119"/>
      <c r="M52" s="120"/>
      <c r="N52" s="122"/>
    </row>
    <row r="53" spans="2:17" s="79" customFormat="1" ht="30" customHeight="1">
      <c r="B53" s="249" t="s">
        <v>167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1"/>
      <c r="Q53" s="127" t="e">
        <f>SUM(#REF!)/7</f>
        <v>#REF!</v>
      </c>
    </row>
    <row r="54" spans="2:14" s="83" customFormat="1" ht="15">
      <c r="B54" s="78" t="s">
        <v>76</v>
      </c>
      <c r="C54" s="252" t="s">
        <v>42</v>
      </c>
      <c r="D54" s="253"/>
      <c r="E54" s="253"/>
      <c r="F54" s="253"/>
      <c r="G54" s="253"/>
      <c r="H54" s="253"/>
      <c r="I54" s="253"/>
      <c r="J54" s="254"/>
      <c r="K54" s="78" t="s">
        <v>77</v>
      </c>
      <c r="L54" s="78" t="s">
        <v>43</v>
      </c>
      <c r="M54" s="78" t="s">
        <v>78</v>
      </c>
      <c r="N54" s="78" t="s">
        <v>79</v>
      </c>
    </row>
    <row r="55" spans="2:17" s="83" customFormat="1" ht="39.75" customHeight="1">
      <c r="B55" s="172" t="str">
        <f aca="true" t="shared" si="5" ref="B55:B64">B40</f>
        <v>SINAPI-93358</v>
      </c>
      <c r="C55" s="245" t="s">
        <v>81</v>
      </c>
      <c r="D55" s="246"/>
      <c r="E55" s="246"/>
      <c r="F55" s="246"/>
      <c r="G55" s="246"/>
      <c r="H55" s="246"/>
      <c r="I55" s="246"/>
      <c r="J55" s="247"/>
      <c r="K55" s="100" t="s">
        <v>6</v>
      </c>
      <c r="L55" s="99">
        <f>0.4*1.8*2.57</f>
        <v>1.8504</v>
      </c>
      <c r="M55" s="99">
        <f>M40</f>
        <v>53.16</v>
      </c>
      <c r="N55" s="113">
        <f>ROUND(M55*L55,2)</f>
        <v>98.37</v>
      </c>
      <c r="Q55" s="98" t="s">
        <v>123</v>
      </c>
    </row>
    <row r="56" spans="2:17" s="83" customFormat="1" ht="33.75" customHeight="1">
      <c r="B56" s="172" t="str">
        <f t="shared" si="5"/>
        <v>SINAPI-95302</v>
      </c>
      <c r="C56" s="245" t="s">
        <v>83</v>
      </c>
      <c r="D56" s="246"/>
      <c r="E56" s="246"/>
      <c r="F56" s="246"/>
      <c r="G56" s="246"/>
      <c r="H56" s="246"/>
      <c r="I56" s="246"/>
      <c r="J56" s="247"/>
      <c r="K56" s="100" t="s">
        <v>41</v>
      </c>
      <c r="L56" s="99">
        <f>L55*4</f>
        <v>7.4016</v>
      </c>
      <c r="M56" s="99">
        <f>M41</f>
        <v>1.38</v>
      </c>
      <c r="N56" s="113">
        <f aca="true" t="shared" si="6" ref="N56:N64">ROUND(M56*L56,2)</f>
        <v>10.21</v>
      </c>
      <c r="Q56" s="98" t="s">
        <v>118</v>
      </c>
    </row>
    <row r="57" spans="2:17" s="83" customFormat="1" ht="31.5" customHeight="1">
      <c r="B57" s="172" t="str">
        <f t="shared" si="5"/>
        <v>SINAPI-74010/001</v>
      </c>
      <c r="C57" s="245" t="s">
        <v>21</v>
      </c>
      <c r="D57" s="246"/>
      <c r="E57" s="246"/>
      <c r="F57" s="246"/>
      <c r="G57" s="246"/>
      <c r="H57" s="246"/>
      <c r="I57" s="246"/>
      <c r="J57" s="247"/>
      <c r="K57" s="100" t="s">
        <v>6</v>
      </c>
      <c r="L57" s="99">
        <f>L55</f>
        <v>1.8504</v>
      </c>
      <c r="M57" s="99">
        <f>M42</f>
        <v>1.53</v>
      </c>
      <c r="N57" s="113">
        <f t="shared" si="6"/>
        <v>2.83</v>
      </c>
      <c r="Q57" s="98" t="s">
        <v>119</v>
      </c>
    </row>
    <row r="58" spans="2:17" s="83" customFormat="1" ht="31.5" customHeight="1">
      <c r="B58" s="172" t="str">
        <f t="shared" si="5"/>
        <v>SINAPI-95241</v>
      </c>
      <c r="C58" s="245" t="s">
        <v>140</v>
      </c>
      <c r="D58" s="246"/>
      <c r="E58" s="246"/>
      <c r="F58" s="246"/>
      <c r="G58" s="246"/>
      <c r="H58" s="246"/>
      <c r="I58" s="246"/>
      <c r="J58" s="247"/>
      <c r="K58" s="100" t="s">
        <v>36</v>
      </c>
      <c r="L58" s="99">
        <f>1.8*1.8</f>
        <v>3.24</v>
      </c>
      <c r="M58" s="99">
        <f>M43</f>
        <v>17.85</v>
      </c>
      <c r="N58" s="113">
        <f t="shared" si="6"/>
        <v>57.83</v>
      </c>
      <c r="Q58" s="98" t="s">
        <v>120</v>
      </c>
    </row>
    <row r="59" spans="2:17" s="83" customFormat="1" ht="43.5" customHeight="1">
      <c r="B59" s="172" t="str">
        <f t="shared" si="5"/>
        <v>SINAPI-(94964 + 74157/004)</v>
      </c>
      <c r="C59" s="245" t="s">
        <v>106</v>
      </c>
      <c r="D59" s="246"/>
      <c r="E59" s="246"/>
      <c r="F59" s="246"/>
      <c r="G59" s="246"/>
      <c r="H59" s="246"/>
      <c r="I59" s="246"/>
      <c r="J59" s="247"/>
      <c r="K59" s="100" t="s">
        <v>6</v>
      </c>
      <c r="L59" s="99">
        <f>2*2.17*1.8*0.2+1.4*2.17*1.8*0.2-2*3.1416*1*1*0.25*0.2</f>
        <v>2.34192</v>
      </c>
      <c r="M59" s="99">
        <f>M30</f>
        <v>340.44</v>
      </c>
      <c r="N59" s="113">
        <f t="shared" si="6"/>
        <v>797.28</v>
      </c>
      <c r="Q59" s="98" t="s">
        <v>129</v>
      </c>
    </row>
    <row r="60" spans="2:17" s="83" customFormat="1" ht="42.75" customHeight="1">
      <c r="B60" s="172" t="str">
        <f t="shared" si="5"/>
        <v>SINAPI-(94964 + 74157/004)</v>
      </c>
      <c r="C60" s="245" t="s">
        <v>104</v>
      </c>
      <c r="D60" s="246"/>
      <c r="E60" s="246"/>
      <c r="F60" s="246"/>
      <c r="G60" s="246"/>
      <c r="H60" s="246"/>
      <c r="I60" s="246"/>
      <c r="J60" s="247"/>
      <c r="K60" s="100" t="s">
        <v>6</v>
      </c>
      <c r="L60" s="99">
        <f>0.2*2.1*2.1-3.1416*0.6*0.6*0.25*0.2+1.8*1.8*0.2</f>
        <v>1.4734512000000004</v>
      </c>
      <c r="M60" s="99">
        <f>M45</f>
        <v>340.44</v>
      </c>
      <c r="N60" s="113">
        <f t="shared" si="6"/>
        <v>501.62</v>
      </c>
      <c r="Q60" s="98" t="s">
        <v>121</v>
      </c>
    </row>
    <row r="61" spans="2:17" s="83" customFormat="1" ht="29.25" customHeight="1">
      <c r="B61" s="172" t="str">
        <f t="shared" si="5"/>
        <v>SINAPI-92794</v>
      </c>
      <c r="C61" s="245" t="s">
        <v>145</v>
      </c>
      <c r="D61" s="246"/>
      <c r="E61" s="246"/>
      <c r="F61" s="246"/>
      <c r="G61" s="246"/>
      <c r="H61" s="246"/>
      <c r="I61" s="246"/>
      <c r="J61" s="247"/>
      <c r="K61" s="100" t="s">
        <v>37</v>
      </c>
      <c r="L61" s="99">
        <f>(0.1*2.1*2.1-3.1416*0.6*0.6*0.25*0.1+L59)*70</f>
        <v>192.825192</v>
      </c>
      <c r="M61" s="99">
        <f>M46</f>
        <v>4.55</v>
      </c>
      <c r="N61" s="113">
        <f t="shared" si="6"/>
        <v>877.35</v>
      </c>
      <c r="Q61" s="98" t="s">
        <v>132</v>
      </c>
    </row>
    <row r="62" spans="2:17" s="83" customFormat="1" ht="63.75" customHeight="1">
      <c r="B62" s="172" t="str">
        <f t="shared" si="5"/>
        <v>SINAPI-92423</v>
      </c>
      <c r="C62" s="245" t="s">
        <v>148</v>
      </c>
      <c r="D62" s="246"/>
      <c r="E62" s="246"/>
      <c r="F62" s="246"/>
      <c r="G62" s="246"/>
      <c r="H62" s="246"/>
      <c r="I62" s="246"/>
      <c r="J62" s="247"/>
      <c r="K62" s="100" t="s">
        <v>36</v>
      </c>
      <c r="L62" s="99">
        <f>2*2.17*4+1.6*2.17*4-4*3.1416*1*1*0.25</f>
        <v>28.106399999999997</v>
      </c>
      <c r="M62" s="99">
        <f>M47</f>
        <v>39.5</v>
      </c>
      <c r="N62" s="113">
        <f t="shared" si="6"/>
        <v>1110.2</v>
      </c>
      <c r="Q62" s="98" t="s">
        <v>122</v>
      </c>
    </row>
    <row r="63" spans="2:14" s="83" customFormat="1" ht="27.75" customHeight="1">
      <c r="B63" s="172" t="str">
        <f t="shared" si="5"/>
        <v>SINAPI-21090</v>
      </c>
      <c r="C63" s="245" t="s">
        <v>142</v>
      </c>
      <c r="D63" s="246"/>
      <c r="E63" s="246"/>
      <c r="F63" s="246"/>
      <c r="G63" s="246"/>
      <c r="H63" s="246"/>
      <c r="I63" s="246"/>
      <c r="J63" s="247"/>
      <c r="K63" s="100" t="s">
        <v>80</v>
      </c>
      <c r="L63" s="99">
        <v>1</v>
      </c>
      <c r="M63" s="99">
        <f>M48</f>
        <v>394.23</v>
      </c>
      <c r="N63" s="113">
        <f t="shared" si="6"/>
        <v>394.23</v>
      </c>
    </row>
    <row r="64" spans="2:14" s="83" customFormat="1" ht="27" customHeight="1">
      <c r="B64" s="172" t="str">
        <f t="shared" si="5"/>
        <v>SINAPI-73607</v>
      </c>
      <c r="C64" s="245" t="s">
        <v>82</v>
      </c>
      <c r="D64" s="246"/>
      <c r="E64" s="246"/>
      <c r="F64" s="246"/>
      <c r="G64" s="246"/>
      <c r="H64" s="246"/>
      <c r="I64" s="246"/>
      <c r="J64" s="247"/>
      <c r="K64" s="100" t="s">
        <v>80</v>
      </c>
      <c r="L64" s="99">
        <v>1</v>
      </c>
      <c r="M64" s="99">
        <f>M49</f>
        <v>72</v>
      </c>
      <c r="N64" s="113">
        <f t="shared" si="6"/>
        <v>72</v>
      </c>
    </row>
    <row r="65" spans="2:14" s="83" customFormat="1" ht="15">
      <c r="B65" s="114"/>
      <c r="C65" s="248"/>
      <c r="D65" s="248"/>
      <c r="E65" s="248"/>
      <c r="F65" s="248"/>
      <c r="G65" s="248"/>
      <c r="H65" s="150"/>
      <c r="I65" s="150"/>
      <c r="J65" s="150"/>
      <c r="K65" s="115"/>
      <c r="L65" s="116"/>
      <c r="M65" s="117" t="s">
        <v>79</v>
      </c>
      <c r="N65" s="126">
        <f>SUM(N55:N64)</f>
        <v>3921.9199999999996</v>
      </c>
    </row>
    <row r="66" spans="2:14" s="83" customFormat="1" ht="15">
      <c r="B66" s="114"/>
      <c r="C66" s="150"/>
      <c r="D66" s="150"/>
      <c r="E66" s="150"/>
      <c r="F66" s="150"/>
      <c r="G66" s="150"/>
      <c r="H66" s="150"/>
      <c r="I66" s="150"/>
      <c r="J66" s="150"/>
      <c r="K66" s="115"/>
      <c r="L66" s="119"/>
      <c r="M66" s="120"/>
      <c r="N66" s="122"/>
    </row>
    <row r="67" spans="2:14" s="83" customFormat="1" ht="15">
      <c r="B67" s="114"/>
      <c r="C67" s="150"/>
      <c r="D67" s="150"/>
      <c r="E67" s="150"/>
      <c r="F67" s="150"/>
      <c r="G67" s="150"/>
      <c r="H67" s="150"/>
      <c r="I67" s="150"/>
      <c r="J67" s="150"/>
      <c r="K67" s="115"/>
      <c r="L67" s="119"/>
      <c r="M67" s="120"/>
      <c r="N67" s="122"/>
    </row>
    <row r="68" spans="2:17" s="79" customFormat="1" ht="30" customHeight="1">
      <c r="B68" s="249" t="s">
        <v>169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1"/>
      <c r="Q68" s="127" t="e">
        <f>SUM(#REF!)/5</f>
        <v>#REF!</v>
      </c>
    </row>
    <row r="69" spans="2:14" s="83" customFormat="1" ht="15">
      <c r="B69" s="78" t="s">
        <v>76</v>
      </c>
      <c r="C69" s="252" t="s">
        <v>42</v>
      </c>
      <c r="D69" s="253"/>
      <c r="E69" s="253"/>
      <c r="F69" s="253"/>
      <c r="G69" s="253"/>
      <c r="H69" s="253"/>
      <c r="I69" s="253"/>
      <c r="J69" s="254"/>
      <c r="K69" s="78" t="s">
        <v>77</v>
      </c>
      <c r="L69" s="78" t="s">
        <v>43</v>
      </c>
      <c r="M69" s="78" t="s">
        <v>78</v>
      </c>
      <c r="N69" s="78" t="s">
        <v>79</v>
      </c>
    </row>
    <row r="70" spans="2:17" s="83" customFormat="1" ht="33.75" customHeight="1">
      <c r="B70" s="172" t="str">
        <f aca="true" t="shared" si="7" ref="B70:B79">B55</f>
        <v>SINAPI-93358</v>
      </c>
      <c r="C70" s="245" t="s">
        <v>81</v>
      </c>
      <c r="D70" s="246"/>
      <c r="E70" s="246"/>
      <c r="F70" s="246"/>
      <c r="G70" s="246"/>
      <c r="H70" s="246"/>
      <c r="I70" s="246"/>
      <c r="J70" s="247"/>
      <c r="K70" s="100" t="s">
        <v>6</v>
      </c>
      <c r="L70" s="99">
        <f>2*0.2*2.3*3.19</f>
        <v>2.9347999999999996</v>
      </c>
      <c r="M70" s="99">
        <f aca="true" t="shared" si="8" ref="M70:M79">M40</f>
        <v>53.16</v>
      </c>
      <c r="N70" s="113">
        <f>ROUND(M70*L70,2)</f>
        <v>156.01</v>
      </c>
      <c r="Q70" s="98" t="s">
        <v>123</v>
      </c>
    </row>
    <row r="71" spans="2:17" s="83" customFormat="1" ht="33" customHeight="1">
      <c r="B71" s="172" t="str">
        <f t="shared" si="7"/>
        <v>SINAPI-95302</v>
      </c>
      <c r="C71" s="245" t="s">
        <v>83</v>
      </c>
      <c r="D71" s="246"/>
      <c r="E71" s="246"/>
      <c r="F71" s="246"/>
      <c r="G71" s="246"/>
      <c r="H71" s="246"/>
      <c r="I71" s="246"/>
      <c r="J71" s="247"/>
      <c r="K71" s="100" t="s">
        <v>41</v>
      </c>
      <c r="L71" s="99">
        <f>L70*4</f>
        <v>11.739199999999999</v>
      </c>
      <c r="M71" s="99">
        <f t="shared" si="8"/>
        <v>1.38</v>
      </c>
      <c r="N71" s="113">
        <f aca="true" t="shared" si="9" ref="N71:N79">ROUND(M71*L71,2)</f>
        <v>16.2</v>
      </c>
      <c r="Q71" s="98" t="s">
        <v>118</v>
      </c>
    </row>
    <row r="72" spans="2:17" s="83" customFormat="1" ht="15">
      <c r="B72" s="172" t="str">
        <f t="shared" si="7"/>
        <v>SINAPI-74010/001</v>
      </c>
      <c r="C72" s="245" t="s">
        <v>21</v>
      </c>
      <c r="D72" s="246"/>
      <c r="E72" s="246"/>
      <c r="F72" s="246"/>
      <c r="G72" s="246"/>
      <c r="H72" s="246"/>
      <c r="I72" s="246"/>
      <c r="J72" s="247"/>
      <c r="K72" s="100" t="s">
        <v>6</v>
      </c>
      <c r="L72" s="99">
        <f>L70</f>
        <v>2.9347999999999996</v>
      </c>
      <c r="M72" s="99">
        <f t="shared" si="8"/>
        <v>1.53</v>
      </c>
      <c r="N72" s="113">
        <f t="shared" si="9"/>
        <v>4.49</v>
      </c>
      <c r="Q72" s="98" t="s">
        <v>119</v>
      </c>
    </row>
    <row r="73" spans="2:17" s="83" customFormat="1" ht="32.25" customHeight="1">
      <c r="B73" s="172" t="str">
        <f t="shared" si="7"/>
        <v>SINAPI-95241</v>
      </c>
      <c r="C73" s="245" t="s">
        <v>140</v>
      </c>
      <c r="D73" s="246"/>
      <c r="E73" s="246"/>
      <c r="F73" s="246"/>
      <c r="G73" s="246"/>
      <c r="H73" s="246"/>
      <c r="I73" s="246"/>
      <c r="J73" s="247"/>
      <c r="K73" s="100" t="s">
        <v>36</v>
      </c>
      <c r="L73" s="99">
        <f>2.3*2.3</f>
        <v>5.289999999999999</v>
      </c>
      <c r="M73" s="99">
        <f t="shared" si="8"/>
        <v>17.85</v>
      </c>
      <c r="N73" s="113">
        <f t="shared" si="9"/>
        <v>94.43</v>
      </c>
      <c r="Q73" s="98" t="s">
        <v>120</v>
      </c>
    </row>
    <row r="74" spans="2:17" s="83" customFormat="1" ht="45" customHeight="1">
      <c r="B74" s="172" t="str">
        <f t="shared" si="7"/>
        <v>SINAPI-(94964 + 74157/004)</v>
      </c>
      <c r="C74" s="245" t="s">
        <v>106</v>
      </c>
      <c r="D74" s="246"/>
      <c r="E74" s="246"/>
      <c r="F74" s="246"/>
      <c r="G74" s="246"/>
      <c r="H74" s="246"/>
      <c r="I74" s="246"/>
      <c r="J74" s="247"/>
      <c r="K74" s="100" t="s">
        <v>6</v>
      </c>
      <c r="L74" s="99">
        <f>2*2.3*0.2*2.79+2*1.9*0.2*2.79-2*3.1416*1.5*1.5*0.25*0.2</f>
        <v>3.98034</v>
      </c>
      <c r="M74" s="99">
        <f t="shared" si="8"/>
        <v>340.44</v>
      </c>
      <c r="N74" s="113">
        <f t="shared" si="9"/>
        <v>1355.07</v>
      </c>
      <c r="Q74" s="98" t="s">
        <v>129</v>
      </c>
    </row>
    <row r="75" spans="2:17" s="83" customFormat="1" ht="45" customHeight="1">
      <c r="B75" s="172" t="str">
        <f t="shared" si="7"/>
        <v>SINAPI-(94964 + 74157/004)</v>
      </c>
      <c r="C75" s="245" t="s">
        <v>104</v>
      </c>
      <c r="D75" s="246"/>
      <c r="E75" s="246"/>
      <c r="F75" s="246"/>
      <c r="G75" s="246"/>
      <c r="H75" s="246"/>
      <c r="I75" s="246"/>
      <c r="J75" s="247"/>
      <c r="K75" s="100" t="s">
        <v>6</v>
      </c>
      <c r="L75" s="99">
        <f>2.6*2.6*0.2-3.1416*0.6*0.6*0.25*0.2+2.3*2.3*0.2</f>
        <v>2.3534512000000003</v>
      </c>
      <c r="M75" s="99">
        <f t="shared" si="8"/>
        <v>340.44</v>
      </c>
      <c r="N75" s="113">
        <f t="shared" si="9"/>
        <v>801.21</v>
      </c>
      <c r="Q75" s="98" t="s">
        <v>121</v>
      </c>
    </row>
    <row r="76" spans="2:17" s="83" customFormat="1" ht="30.75" customHeight="1">
      <c r="B76" s="172" t="str">
        <f t="shared" si="7"/>
        <v>SINAPI-92794</v>
      </c>
      <c r="C76" s="245" t="s">
        <v>145</v>
      </c>
      <c r="D76" s="246"/>
      <c r="E76" s="246"/>
      <c r="F76" s="246"/>
      <c r="G76" s="246"/>
      <c r="H76" s="246"/>
      <c r="I76" s="246"/>
      <c r="J76" s="247"/>
      <c r="K76" s="100" t="s">
        <v>37</v>
      </c>
      <c r="L76" s="99">
        <f>(2.6*2.6*0.1-3.1416*0.6*0.6*0.25*0.1+L74)*70</f>
        <v>323.96459200000004</v>
      </c>
      <c r="M76" s="99">
        <f t="shared" si="8"/>
        <v>4.55</v>
      </c>
      <c r="N76" s="113">
        <f t="shared" si="9"/>
        <v>1474.04</v>
      </c>
      <c r="Q76" s="98" t="s">
        <v>132</v>
      </c>
    </row>
    <row r="77" spans="2:17" s="83" customFormat="1" ht="57.75" customHeight="1">
      <c r="B77" s="172" t="str">
        <f t="shared" si="7"/>
        <v>SINAPI-92423</v>
      </c>
      <c r="C77" s="245" t="s">
        <v>148</v>
      </c>
      <c r="D77" s="246"/>
      <c r="E77" s="246"/>
      <c r="F77" s="246"/>
      <c r="G77" s="246"/>
      <c r="H77" s="246"/>
      <c r="I77" s="246"/>
      <c r="J77" s="247"/>
      <c r="K77" s="100" t="s">
        <v>36</v>
      </c>
      <c r="L77" s="99">
        <f>4*2.3*2.79+4*1.9*2.79-4*3.1416*1.5*1.5*0.25</f>
        <v>39.803399999999996</v>
      </c>
      <c r="M77" s="99">
        <f t="shared" si="8"/>
        <v>39.5</v>
      </c>
      <c r="N77" s="113">
        <f t="shared" si="9"/>
        <v>1572.23</v>
      </c>
      <c r="Q77" s="98" t="s">
        <v>122</v>
      </c>
    </row>
    <row r="78" spans="2:14" s="83" customFormat="1" ht="27.75" customHeight="1">
      <c r="B78" s="172" t="str">
        <f t="shared" si="7"/>
        <v>SINAPI-21090</v>
      </c>
      <c r="C78" s="245" t="s">
        <v>142</v>
      </c>
      <c r="D78" s="246"/>
      <c r="E78" s="246"/>
      <c r="F78" s="246"/>
      <c r="G78" s="246"/>
      <c r="H78" s="246"/>
      <c r="I78" s="246"/>
      <c r="J78" s="247"/>
      <c r="K78" s="100" t="s">
        <v>80</v>
      </c>
      <c r="L78" s="99">
        <v>1</v>
      </c>
      <c r="M78" s="99">
        <f t="shared" si="8"/>
        <v>394.23</v>
      </c>
      <c r="N78" s="113">
        <f t="shared" si="9"/>
        <v>394.23</v>
      </c>
    </row>
    <row r="79" spans="2:14" s="83" customFormat="1" ht="27" customHeight="1">
      <c r="B79" s="172" t="str">
        <f t="shared" si="7"/>
        <v>SINAPI-73607</v>
      </c>
      <c r="C79" s="245" t="s">
        <v>82</v>
      </c>
      <c r="D79" s="246"/>
      <c r="E79" s="246"/>
      <c r="F79" s="246"/>
      <c r="G79" s="246"/>
      <c r="H79" s="246"/>
      <c r="I79" s="246"/>
      <c r="J79" s="247"/>
      <c r="K79" s="100" t="s">
        <v>80</v>
      </c>
      <c r="L79" s="99">
        <v>1</v>
      </c>
      <c r="M79" s="99">
        <f t="shared" si="8"/>
        <v>72</v>
      </c>
      <c r="N79" s="113">
        <f t="shared" si="9"/>
        <v>72</v>
      </c>
    </row>
    <row r="80" spans="2:15" s="83" customFormat="1" ht="15">
      <c r="B80" s="114"/>
      <c r="C80" s="248"/>
      <c r="D80" s="248"/>
      <c r="E80" s="248"/>
      <c r="F80" s="248"/>
      <c r="G80" s="248"/>
      <c r="H80" s="150"/>
      <c r="I80" s="150"/>
      <c r="J80" s="150"/>
      <c r="K80" s="115"/>
      <c r="L80" s="116"/>
      <c r="M80" s="117" t="s">
        <v>79</v>
      </c>
      <c r="N80" s="126">
        <f>SUM(N70:N79)</f>
        <v>5939.91</v>
      </c>
      <c r="O80" s="83">
        <v>4316.19</v>
      </c>
    </row>
    <row r="81" spans="2:14" s="83" customFormat="1" ht="15">
      <c r="B81" s="114"/>
      <c r="C81" s="150"/>
      <c r="D81" s="150"/>
      <c r="E81" s="150"/>
      <c r="F81" s="150"/>
      <c r="G81" s="150"/>
      <c r="H81" s="150"/>
      <c r="I81" s="150"/>
      <c r="J81" s="150"/>
      <c r="K81" s="115"/>
      <c r="L81" s="119"/>
      <c r="M81" s="120"/>
      <c r="N81" s="122"/>
    </row>
    <row r="82" spans="2:14" s="83" customFormat="1" ht="15">
      <c r="B82" s="114"/>
      <c r="C82" s="150"/>
      <c r="D82" s="150"/>
      <c r="E82" s="150"/>
      <c r="F82" s="150"/>
      <c r="G82" s="150"/>
      <c r="H82" s="150"/>
      <c r="I82" s="150"/>
      <c r="J82" s="150"/>
      <c r="K82" s="115"/>
      <c r="L82" s="119"/>
      <c r="M82" s="120"/>
      <c r="N82" s="122"/>
    </row>
    <row r="83" spans="2:17" s="79" customFormat="1" ht="30" customHeight="1">
      <c r="B83" s="249" t="s">
        <v>168</v>
      </c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1"/>
      <c r="Q83" s="79">
        <f>(2.79+3.04+3.02+3.39+2.5+2.91+3.23+3.26)/8</f>
        <v>3.0175</v>
      </c>
    </row>
    <row r="84" spans="2:17" s="83" customFormat="1" ht="15">
      <c r="B84" s="78" t="s">
        <v>76</v>
      </c>
      <c r="C84" s="252" t="s">
        <v>42</v>
      </c>
      <c r="D84" s="253"/>
      <c r="E84" s="253"/>
      <c r="F84" s="253"/>
      <c r="G84" s="253"/>
      <c r="H84" s="253"/>
      <c r="I84" s="253"/>
      <c r="J84" s="254"/>
      <c r="K84" s="78" t="s">
        <v>77</v>
      </c>
      <c r="L84" s="78" t="s">
        <v>43</v>
      </c>
      <c r="M84" s="78" t="s">
        <v>78</v>
      </c>
      <c r="N84" s="78" t="s">
        <v>79</v>
      </c>
      <c r="Q84" s="83">
        <v>3.64</v>
      </c>
    </row>
    <row r="85" spans="2:17" s="83" customFormat="1" ht="36.75" customHeight="1">
      <c r="B85" s="172" t="str">
        <f aca="true" t="shared" si="10" ref="B85:B94">B70</f>
        <v>SINAPI-93358</v>
      </c>
      <c r="C85" s="245" t="s">
        <v>81</v>
      </c>
      <c r="D85" s="246"/>
      <c r="E85" s="246"/>
      <c r="F85" s="246"/>
      <c r="G85" s="246"/>
      <c r="H85" s="246"/>
      <c r="I85" s="246"/>
      <c r="J85" s="247"/>
      <c r="K85" s="100" t="s">
        <v>6</v>
      </c>
      <c r="L85" s="99">
        <f>2*0.2*1.9*3.64</f>
        <v>2.7664</v>
      </c>
      <c r="M85" s="99">
        <f aca="true" t="shared" si="11" ref="M85:M94">M70</f>
        <v>53.16</v>
      </c>
      <c r="N85" s="113">
        <f>ROUND(M85*L85,2)</f>
        <v>147.06</v>
      </c>
      <c r="Q85" s="98" t="s">
        <v>124</v>
      </c>
    </row>
    <row r="86" spans="2:17" s="83" customFormat="1" ht="32.25" customHeight="1">
      <c r="B86" s="172" t="str">
        <f t="shared" si="10"/>
        <v>SINAPI-95302</v>
      </c>
      <c r="C86" s="245" t="s">
        <v>83</v>
      </c>
      <c r="D86" s="246"/>
      <c r="E86" s="246"/>
      <c r="F86" s="246"/>
      <c r="G86" s="246"/>
      <c r="H86" s="246"/>
      <c r="I86" s="246"/>
      <c r="J86" s="247"/>
      <c r="K86" s="100" t="s">
        <v>41</v>
      </c>
      <c r="L86" s="99">
        <f>L85*4</f>
        <v>11.0656</v>
      </c>
      <c r="M86" s="99">
        <f t="shared" si="11"/>
        <v>1.38</v>
      </c>
      <c r="N86" s="113">
        <f aca="true" t="shared" si="12" ref="N86:N94">ROUND(M86*L86,2)</f>
        <v>15.27</v>
      </c>
      <c r="Q86" s="98" t="s">
        <v>118</v>
      </c>
    </row>
    <row r="87" spans="2:17" s="83" customFormat="1" ht="15">
      <c r="B87" s="172" t="str">
        <f t="shared" si="10"/>
        <v>SINAPI-74010/001</v>
      </c>
      <c r="C87" s="245" t="s">
        <v>21</v>
      </c>
      <c r="D87" s="246"/>
      <c r="E87" s="246"/>
      <c r="F87" s="246"/>
      <c r="G87" s="246"/>
      <c r="H87" s="246"/>
      <c r="I87" s="246"/>
      <c r="J87" s="247"/>
      <c r="K87" s="100" t="s">
        <v>6</v>
      </c>
      <c r="L87" s="99">
        <f>L85</f>
        <v>2.7664</v>
      </c>
      <c r="M87" s="99">
        <f t="shared" si="11"/>
        <v>1.53</v>
      </c>
      <c r="N87" s="113">
        <f t="shared" si="12"/>
        <v>4.23</v>
      </c>
      <c r="Q87" s="98" t="s">
        <v>119</v>
      </c>
    </row>
    <row r="88" spans="2:17" s="83" customFormat="1" ht="36.75" customHeight="1">
      <c r="B88" s="172" t="str">
        <f t="shared" si="10"/>
        <v>SINAPI-95241</v>
      </c>
      <c r="C88" s="245" t="s">
        <v>140</v>
      </c>
      <c r="D88" s="246"/>
      <c r="E88" s="246"/>
      <c r="F88" s="246"/>
      <c r="G88" s="246"/>
      <c r="H88" s="246"/>
      <c r="I88" s="246"/>
      <c r="J88" s="247"/>
      <c r="K88" s="100" t="s">
        <v>36</v>
      </c>
      <c r="L88" s="99">
        <f>4.55*1.9</f>
        <v>8.645</v>
      </c>
      <c r="M88" s="99">
        <f t="shared" si="11"/>
        <v>17.85</v>
      </c>
      <c r="N88" s="113">
        <f t="shared" si="12"/>
        <v>154.31</v>
      </c>
      <c r="Q88" s="98" t="s">
        <v>125</v>
      </c>
    </row>
    <row r="89" spans="2:17" s="83" customFormat="1" ht="45" customHeight="1">
      <c r="B89" s="172" t="str">
        <f t="shared" si="10"/>
        <v>SINAPI-(94964 + 74157/004)</v>
      </c>
      <c r="C89" s="245" t="s">
        <v>106</v>
      </c>
      <c r="D89" s="246"/>
      <c r="E89" s="246"/>
      <c r="F89" s="246"/>
      <c r="G89" s="246"/>
      <c r="H89" s="246"/>
      <c r="I89" s="246"/>
      <c r="J89" s="247"/>
      <c r="K89" s="100" t="s">
        <v>6</v>
      </c>
      <c r="L89" s="99">
        <f>2*4.55*0.2*3.24+2*1.5*0.2*3.24-4*3.1416*1.5*1.5*0.25*0.2</f>
        <v>6.427080000000002</v>
      </c>
      <c r="M89" s="99">
        <f t="shared" si="11"/>
        <v>340.44</v>
      </c>
      <c r="N89" s="113">
        <f t="shared" si="12"/>
        <v>2188.04</v>
      </c>
      <c r="Q89" s="98" t="s">
        <v>128</v>
      </c>
    </row>
    <row r="90" spans="2:17" s="83" customFormat="1" ht="45" customHeight="1">
      <c r="B90" s="172" t="str">
        <f t="shared" si="10"/>
        <v>SINAPI-(94964 + 74157/004)</v>
      </c>
      <c r="C90" s="245" t="s">
        <v>104</v>
      </c>
      <c r="D90" s="246"/>
      <c r="E90" s="246"/>
      <c r="F90" s="246"/>
      <c r="G90" s="246"/>
      <c r="H90" s="246"/>
      <c r="I90" s="246"/>
      <c r="J90" s="247"/>
      <c r="K90" s="100" t="s">
        <v>6</v>
      </c>
      <c r="L90" s="99">
        <f>4.85*2.2*0.2-3.1416*0.6*0.6*0.25*0.2+4.55*1.9*0.2</f>
        <v>3.8064512</v>
      </c>
      <c r="M90" s="99">
        <f t="shared" si="11"/>
        <v>340.44</v>
      </c>
      <c r="N90" s="113">
        <f t="shared" si="12"/>
        <v>1295.87</v>
      </c>
      <c r="Q90" s="98" t="s">
        <v>126</v>
      </c>
    </row>
    <row r="91" spans="2:17" s="83" customFormat="1" ht="33.75" customHeight="1">
      <c r="B91" s="172" t="str">
        <f t="shared" si="10"/>
        <v>SINAPI-92794</v>
      </c>
      <c r="C91" s="245" t="s">
        <v>145</v>
      </c>
      <c r="D91" s="246"/>
      <c r="E91" s="246"/>
      <c r="F91" s="246"/>
      <c r="G91" s="246"/>
      <c r="H91" s="246"/>
      <c r="I91" s="246"/>
      <c r="J91" s="247"/>
      <c r="K91" s="100" t="s">
        <v>37</v>
      </c>
      <c r="L91" s="99">
        <f>(4.85*2.2*0.1-3.1416*0.6*0.6*0.25*0.1)*70</f>
        <v>72.710792</v>
      </c>
      <c r="M91" s="99">
        <f t="shared" si="11"/>
        <v>4.55</v>
      </c>
      <c r="N91" s="113">
        <f t="shared" si="12"/>
        <v>330.83</v>
      </c>
      <c r="Q91" s="98" t="s">
        <v>131</v>
      </c>
    </row>
    <row r="92" spans="2:17" s="83" customFormat="1" ht="62.25" customHeight="1">
      <c r="B92" s="172" t="str">
        <f t="shared" si="10"/>
        <v>SINAPI-92423</v>
      </c>
      <c r="C92" s="245" t="s">
        <v>148</v>
      </c>
      <c r="D92" s="246"/>
      <c r="E92" s="246"/>
      <c r="F92" s="246"/>
      <c r="G92" s="246"/>
      <c r="H92" s="246"/>
      <c r="I92" s="246"/>
      <c r="J92" s="247"/>
      <c r="K92" s="100" t="s">
        <v>36</v>
      </c>
      <c r="L92" s="99">
        <f>(2*4.55+2*4.15+2*1.5+2*1.9)*3.24-8*3.1416*1.5*1.5*0.25</f>
        <v>64.27080000000001</v>
      </c>
      <c r="M92" s="99">
        <f t="shared" si="11"/>
        <v>39.5</v>
      </c>
      <c r="N92" s="113">
        <f t="shared" si="12"/>
        <v>2538.7</v>
      </c>
      <c r="Q92" s="98" t="s">
        <v>127</v>
      </c>
    </row>
    <row r="93" spans="2:14" s="83" customFormat="1" ht="29.25" customHeight="1">
      <c r="B93" s="172" t="str">
        <f t="shared" si="10"/>
        <v>SINAPI-21090</v>
      </c>
      <c r="C93" s="245" t="s">
        <v>142</v>
      </c>
      <c r="D93" s="246"/>
      <c r="E93" s="246"/>
      <c r="F93" s="246"/>
      <c r="G93" s="246"/>
      <c r="H93" s="246"/>
      <c r="I93" s="246"/>
      <c r="J93" s="247"/>
      <c r="K93" s="100" t="s">
        <v>80</v>
      </c>
      <c r="L93" s="99">
        <v>1</v>
      </c>
      <c r="M93" s="99">
        <f t="shared" si="11"/>
        <v>394.23</v>
      </c>
      <c r="N93" s="113">
        <f t="shared" si="12"/>
        <v>394.23</v>
      </c>
    </row>
    <row r="94" spans="2:14" s="83" customFormat="1" ht="29.25" customHeight="1">
      <c r="B94" s="172" t="str">
        <f t="shared" si="10"/>
        <v>SINAPI-73607</v>
      </c>
      <c r="C94" s="245" t="s">
        <v>82</v>
      </c>
      <c r="D94" s="246"/>
      <c r="E94" s="246"/>
      <c r="F94" s="246"/>
      <c r="G94" s="246"/>
      <c r="H94" s="246"/>
      <c r="I94" s="246"/>
      <c r="J94" s="247"/>
      <c r="K94" s="100" t="s">
        <v>80</v>
      </c>
      <c r="L94" s="99">
        <v>1</v>
      </c>
      <c r="M94" s="99">
        <f t="shared" si="11"/>
        <v>72</v>
      </c>
      <c r="N94" s="113">
        <f t="shared" si="12"/>
        <v>72</v>
      </c>
    </row>
    <row r="95" spans="2:14" s="83" customFormat="1" ht="15">
      <c r="B95" s="114"/>
      <c r="C95" s="248"/>
      <c r="D95" s="248"/>
      <c r="E95" s="248"/>
      <c r="F95" s="248"/>
      <c r="G95" s="248"/>
      <c r="H95" s="150"/>
      <c r="I95" s="150"/>
      <c r="J95" s="150"/>
      <c r="K95" s="115"/>
      <c r="L95" s="116"/>
      <c r="M95" s="117" t="s">
        <v>79</v>
      </c>
      <c r="N95" s="126">
        <f>SUM(N85:N94)</f>
        <v>7140.539999999999</v>
      </c>
    </row>
    <row r="96" spans="2:14" s="83" customFormat="1" ht="15">
      <c r="B96" s="114"/>
      <c r="C96" s="150"/>
      <c r="D96" s="150"/>
      <c r="E96" s="150"/>
      <c r="F96" s="150"/>
      <c r="G96" s="150"/>
      <c r="H96" s="150"/>
      <c r="I96" s="150"/>
      <c r="J96" s="150"/>
      <c r="K96" s="115"/>
      <c r="L96" s="119"/>
      <c r="M96" s="120"/>
      <c r="N96" s="122"/>
    </row>
    <row r="97" spans="2:17" s="79" customFormat="1" ht="30" customHeight="1">
      <c r="B97" s="249" t="s">
        <v>171</v>
      </c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1"/>
      <c r="Q97" s="79">
        <f>(2.79+3.04+3.02+3.39+2.5+2.91+3.23+3.26)/8</f>
        <v>3.0175</v>
      </c>
    </row>
    <row r="98" spans="2:17" s="83" customFormat="1" ht="15">
      <c r="B98" s="78" t="s">
        <v>76</v>
      </c>
      <c r="C98" s="252" t="s">
        <v>42</v>
      </c>
      <c r="D98" s="253"/>
      <c r="E98" s="253"/>
      <c r="F98" s="253"/>
      <c r="G98" s="253"/>
      <c r="H98" s="253"/>
      <c r="I98" s="253"/>
      <c r="J98" s="254"/>
      <c r="K98" s="78" t="s">
        <v>77</v>
      </c>
      <c r="L98" s="78" t="s">
        <v>43</v>
      </c>
      <c r="M98" s="78" t="s">
        <v>78</v>
      </c>
      <c r="N98" s="78" t="s">
        <v>79</v>
      </c>
      <c r="Q98" s="83">
        <v>3.64</v>
      </c>
    </row>
    <row r="99" spans="2:17" s="83" customFormat="1" ht="36.75" customHeight="1">
      <c r="B99" s="172" t="str">
        <f aca="true" t="shared" si="13" ref="B99:B108">B85</f>
        <v>SINAPI-93358</v>
      </c>
      <c r="C99" s="245" t="s">
        <v>81</v>
      </c>
      <c r="D99" s="246"/>
      <c r="E99" s="246"/>
      <c r="F99" s="246"/>
      <c r="G99" s="246"/>
      <c r="H99" s="246"/>
      <c r="I99" s="246"/>
      <c r="J99" s="247"/>
      <c r="K99" s="100" t="s">
        <v>6</v>
      </c>
      <c r="L99" s="99">
        <f>2*0.2*4.55*3.64</f>
        <v>6.6248000000000005</v>
      </c>
      <c r="M99" s="99">
        <f>M85</f>
        <v>53.16</v>
      </c>
      <c r="N99" s="113">
        <f>ROUND(M99*L99,2)</f>
        <v>352.17</v>
      </c>
      <c r="Q99" s="98" t="s">
        <v>124</v>
      </c>
    </row>
    <row r="100" spans="2:17" s="83" customFormat="1" ht="32.25" customHeight="1">
      <c r="B100" s="172" t="str">
        <f t="shared" si="13"/>
        <v>SINAPI-95302</v>
      </c>
      <c r="C100" s="245" t="s">
        <v>83</v>
      </c>
      <c r="D100" s="246"/>
      <c r="E100" s="246"/>
      <c r="F100" s="246"/>
      <c r="G100" s="246"/>
      <c r="H100" s="246"/>
      <c r="I100" s="246"/>
      <c r="J100" s="247"/>
      <c r="K100" s="100" t="s">
        <v>41</v>
      </c>
      <c r="L100" s="99">
        <f>L99*4</f>
        <v>26.499200000000002</v>
      </c>
      <c r="M100" s="99">
        <f aca="true" t="shared" si="14" ref="M100:M108">M86</f>
        <v>1.38</v>
      </c>
      <c r="N100" s="113">
        <f aca="true" t="shared" si="15" ref="N100:N108">ROUND(M100*L100,2)</f>
        <v>36.57</v>
      </c>
      <c r="Q100" s="98" t="s">
        <v>118</v>
      </c>
    </row>
    <row r="101" spans="2:17" s="83" customFormat="1" ht="29.25" customHeight="1">
      <c r="B101" s="172" t="str">
        <f t="shared" si="13"/>
        <v>SINAPI-74010/001</v>
      </c>
      <c r="C101" s="245" t="s">
        <v>21</v>
      </c>
      <c r="D101" s="246"/>
      <c r="E101" s="246"/>
      <c r="F101" s="246"/>
      <c r="G101" s="246"/>
      <c r="H101" s="246"/>
      <c r="I101" s="246"/>
      <c r="J101" s="247"/>
      <c r="K101" s="100" t="s">
        <v>6</v>
      </c>
      <c r="L101" s="99">
        <f>L99</f>
        <v>6.6248000000000005</v>
      </c>
      <c r="M101" s="99">
        <f t="shared" si="14"/>
        <v>1.53</v>
      </c>
      <c r="N101" s="113">
        <f t="shared" si="15"/>
        <v>10.14</v>
      </c>
      <c r="Q101" s="98" t="s">
        <v>119</v>
      </c>
    </row>
    <row r="102" spans="2:17" s="83" customFormat="1" ht="36.75" customHeight="1">
      <c r="B102" s="172" t="str">
        <f t="shared" si="13"/>
        <v>SINAPI-95241</v>
      </c>
      <c r="C102" s="245" t="s">
        <v>140</v>
      </c>
      <c r="D102" s="246"/>
      <c r="E102" s="246"/>
      <c r="F102" s="246"/>
      <c r="G102" s="246"/>
      <c r="H102" s="246"/>
      <c r="I102" s="246"/>
      <c r="J102" s="247"/>
      <c r="K102" s="100" t="s">
        <v>36</v>
      </c>
      <c r="L102" s="99">
        <f>4.55*4.55</f>
        <v>20.702499999999997</v>
      </c>
      <c r="M102" s="99">
        <f t="shared" si="14"/>
        <v>17.85</v>
      </c>
      <c r="N102" s="113">
        <f t="shared" si="15"/>
        <v>369.54</v>
      </c>
      <c r="Q102" s="98" t="s">
        <v>125</v>
      </c>
    </row>
    <row r="103" spans="2:17" s="83" customFormat="1" ht="45" customHeight="1">
      <c r="B103" s="172" t="str">
        <f t="shared" si="13"/>
        <v>SINAPI-(94964 + 74157/004)</v>
      </c>
      <c r="C103" s="245" t="s">
        <v>106</v>
      </c>
      <c r="D103" s="246"/>
      <c r="E103" s="246"/>
      <c r="F103" s="246"/>
      <c r="G103" s="246"/>
      <c r="H103" s="246"/>
      <c r="I103" s="246"/>
      <c r="J103" s="247"/>
      <c r="K103" s="100" t="s">
        <v>6</v>
      </c>
      <c r="L103" s="99">
        <f>2*4.55*0.2*3.24+2*4.15*0.2*3.24-4*3.1416*1.2*1.2*0.25*0.2</f>
        <v>10.370419200000002</v>
      </c>
      <c r="M103" s="99">
        <f t="shared" si="14"/>
        <v>340.44</v>
      </c>
      <c r="N103" s="113">
        <f t="shared" si="15"/>
        <v>3530.51</v>
      </c>
      <c r="Q103" s="98" t="s">
        <v>128</v>
      </c>
    </row>
    <row r="104" spans="2:17" s="83" customFormat="1" ht="45" customHeight="1">
      <c r="B104" s="172" t="str">
        <f t="shared" si="13"/>
        <v>SINAPI-(94964 + 74157/004)</v>
      </c>
      <c r="C104" s="245" t="s">
        <v>104</v>
      </c>
      <c r="D104" s="246"/>
      <c r="E104" s="246"/>
      <c r="F104" s="246"/>
      <c r="G104" s="246"/>
      <c r="H104" s="246"/>
      <c r="I104" s="246"/>
      <c r="J104" s="247"/>
      <c r="K104" s="100" t="s">
        <v>6</v>
      </c>
      <c r="L104" s="99">
        <f>4.85*4.85*0.2-3.1416*0.6*0.6*0.25*0.2+4.55*4.55*0.2</f>
        <v>8.788451199999999</v>
      </c>
      <c r="M104" s="99">
        <f t="shared" si="14"/>
        <v>340.44</v>
      </c>
      <c r="N104" s="113">
        <f t="shared" si="15"/>
        <v>2991.94</v>
      </c>
      <c r="Q104" s="98" t="s">
        <v>126</v>
      </c>
    </row>
    <row r="105" spans="2:17" s="83" customFormat="1" ht="33.75" customHeight="1">
      <c r="B105" s="172" t="str">
        <f t="shared" si="13"/>
        <v>SINAPI-92794</v>
      </c>
      <c r="C105" s="245" t="s">
        <v>145</v>
      </c>
      <c r="D105" s="246"/>
      <c r="E105" s="246"/>
      <c r="F105" s="246"/>
      <c r="G105" s="246"/>
      <c r="H105" s="246"/>
      <c r="I105" s="246"/>
      <c r="J105" s="247"/>
      <c r="K105" s="100" t="s">
        <v>37</v>
      </c>
      <c r="L105" s="99">
        <f>(4.85*4.85*0.1-3.1416*0.6*0.6*0.25*0.1)*70</f>
        <v>162.678292</v>
      </c>
      <c r="M105" s="99">
        <f t="shared" si="14"/>
        <v>4.55</v>
      </c>
      <c r="N105" s="113">
        <f t="shared" si="15"/>
        <v>740.19</v>
      </c>
      <c r="Q105" s="98" t="s">
        <v>131</v>
      </c>
    </row>
    <row r="106" spans="2:17" s="83" customFormat="1" ht="62.25" customHeight="1">
      <c r="B106" s="172" t="str">
        <f t="shared" si="13"/>
        <v>SINAPI-92423</v>
      </c>
      <c r="C106" s="245" t="s">
        <v>148</v>
      </c>
      <c r="D106" s="246"/>
      <c r="E106" s="246"/>
      <c r="F106" s="246"/>
      <c r="G106" s="246"/>
      <c r="H106" s="246"/>
      <c r="I106" s="246"/>
      <c r="J106" s="247"/>
      <c r="K106" s="100" t="s">
        <v>36</v>
      </c>
      <c r="L106" s="99">
        <f>(2*4.55+2*4.15+2*4.15+2*4.35)*3.24-8*3.1416*1.2*1.2*0.25</f>
        <v>102.408192</v>
      </c>
      <c r="M106" s="99">
        <f t="shared" si="14"/>
        <v>39.5</v>
      </c>
      <c r="N106" s="113">
        <f t="shared" si="15"/>
        <v>4045.12</v>
      </c>
      <c r="Q106" s="98" t="s">
        <v>127</v>
      </c>
    </row>
    <row r="107" spans="2:14" s="83" customFormat="1" ht="28.5" customHeight="1">
      <c r="B107" s="172" t="str">
        <f t="shared" si="13"/>
        <v>SINAPI-21090</v>
      </c>
      <c r="C107" s="245" t="s">
        <v>142</v>
      </c>
      <c r="D107" s="246"/>
      <c r="E107" s="246"/>
      <c r="F107" s="246"/>
      <c r="G107" s="246"/>
      <c r="H107" s="246"/>
      <c r="I107" s="246"/>
      <c r="J107" s="247"/>
      <c r="K107" s="100" t="s">
        <v>80</v>
      </c>
      <c r="L107" s="99">
        <v>1</v>
      </c>
      <c r="M107" s="99">
        <f t="shared" si="14"/>
        <v>394.23</v>
      </c>
      <c r="N107" s="113">
        <f t="shared" si="15"/>
        <v>394.23</v>
      </c>
    </row>
    <row r="108" spans="2:14" s="83" customFormat="1" ht="28.5" customHeight="1">
      <c r="B108" s="172" t="str">
        <f t="shared" si="13"/>
        <v>SINAPI-73607</v>
      </c>
      <c r="C108" s="245" t="s">
        <v>82</v>
      </c>
      <c r="D108" s="246"/>
      <c r="E108" s="246"/>
      <c r="F108" s="246"/>
      <c r="G108" s="246"/>
      <c r="H108" s="246"/>
      <c r="I108" s="246"/>
      <c r="J108" s="247"/>
      <c r="K108" s="100" t="s">
        <v>80</v>
      </c>
      <c r="L108" s="99">
        <v>1</v>
      </c>
      <c r="M108" s="99">
        <f t="shared" si="14"/>
        <v>72</v>
      </c>
      <c r="N108" s="113">
        <f t="shared" si="15"/>
        <v>72</v>
      </c>
    </row>
    <row r="109" spans="2:14" s="83" customFormat="1" ht="15">
      <c r="B109" s="114"/>
      <c r="C109" s="248"/>
      <c r="D109" s="248"/>
      <c r="E109" s="248"/>
      <c r="F109" s="248"/>
      <c r="G109" s="248"/>
      <c r="H109" s="150"/>
      <c r="I109" s="150"/>
      <c r="J109" s="150"/>
      <c r="K109" s="115"/>
      <c r="L109" s="116"/>
      <c r="M109" s="117" t="s">
        <v>79</v>
      </c>
      <c r="N109" s="126">
        <f>SUM(N99:N108)</f>
        <v>12542.41</v>
      </c>
    </row>
    <row r="110" spans="2:14" s="83" customFormat="1" ht="15">
      <c r="B110" s="114"/>
      <c r="C110" s="150"/>
      <c r="D110" s="150"/>
      <c r="E110" s="150"/>
      <c r="F110" s="150"/>
      <c r="G110" s="150"/>
      <c r="H110" s="150"/>
      <c r="I110" s="150"/>
      <c r="J110" s="150"/>
      <c r="K110" s="115"/>
      <c r="L110" s="119"/>
      <c r="M110" s="120"/>
      <c r="N110" s="122"/>
    </row>
    <row r="111" spans="2:14" s="83" customFormat="1" ht="15">
      <c r="B111" s="249" t="s">
        <v>172</v>
      </c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1"/>
    </row>
    <row r="112" spans="2:14" s="83" customFormat="1" ht="15">
      <c r="B112" s="78" t="s">
        <v>76</v>
      </c>
      <c r="C112" s="252" t="s">
        <v>42</v>
      </c>
      <c r="D112" s="253"/>
      <c r="E112" s="253"/>
      <c r="F112" s="253"/>
      <c r="G112" s="253"/>
      <c r="H112" s="253"/>
      <c r="I112" s="253"/>
      <c r="J112" s="254"/>
      <c r="K112" s="78" t="s">
        <v>77</v>
      </c>
      <c r="L112" s="78" t="s">
        <v>43</v>
      </c>
      <c r="M112" s="78" t="s">
        <v>78</v>
      </c>
      <c r="N112" s="78" t="s">
        <v>79</v>
      </c>
    </row>
    <row r="113" spans="2:17" s="83" customFormat="1" ht="30" customHeight="1">
      <c r="B113" s="172" t="str">
        <f>B99</f>
        <v>SINAPI-93358</v>
      </c>
      <c r="C113" s="245" t="s">
        <v>81</v>
      </c>
      <c r="D113" s="246"/>
      <c r="E113" s="246"/>
      <c r="F113" s="246"/>
      <c r="G113" s="246"/>
      <c r="H113" s="246"/>
      <c r="I113" s="246"/>
      <c r="J113" s="247"/>
      <c r="K113" s="100" t="s">
        <v>6</v>
      </c>
      <c r="L113" s="99">
        <f>2*0.2*4.21*3</f>
        <v>5.0520000000000005</v>
      </c>
      <c r="M113" s="99">
        <f>M85</f>
        <v>53.16</v>
      </c>
      <c r="N113" s="113">
        <f>ROUND(M113*L113,2)</f>
        <v>268.56</v>
      </c>
      <c r="Q113" s="98"/>
    </row>
    <row r="114" spans="2:17" s="83" customFormat="1" ht="30" customHeight="1">
      <c r="B114" s="172" t="str">
        <f>B100</f>
        <v>SINAPI-95302</v>
      </c>
      <c r="C114" s="245" t="s">
        <v>83</v>
      </c>
      <c r="D114" s="246"/>
      <c r="E114" s="246"/>
      <c r="F114" s="246"/>
      <c r="G114" s="246"/>
      <c r="H114" s="246"/>
      <c r="I114" s="246"/>
      <c r="J114" s="247"/>
      <c r="K114" s="100" t="s">
        <v>41</v>
      </c>
      <c r="L114" s="99">
        <f>L113*4</f>
        <v>20.208000000000002</v>
      </c>
      <c r="M114" s="99">
        <f>M86</f>
        <v>1.38</v>
      </c>
      <c r="N114" s="113">
        <f aca="true" t="shared" si="16" ref="N114:N124">ROUND(M114*L114,2)</f>
        <v>27.89</v>
      </c>
      <c r="Q114" s="98"/>
    </row>
    <row r="115" spans="2:17" s="83" customFormat="1" ht="30" customHeight="1">
      <c r="B115" s="172" t="str">
        <f>B101</f>
        <v>SINAPI-74010/001</v>
      </c>
      <c r="C115" s="245" t="s">
        <v>21</v>
      </c>
      <c r="D115" s="246"/>
      <c r="E115" s="246"/>
      <c r="F115" s="246"/>
      <c r="G115" s="246"/>
      <c r="H115" s="246"/>
      <c r="I115" s="246"/>
      <c r="J115" s="247"/>
      <c r="K115" s="100" t="s">
        <v>6</v>
      </c>
      <c r="L115" s="99">
        <f>L114</f>
        <v>20.208000000000002</v>
      </c>
      <c r="M115" s="99">
        <f>M87</f>
        <v>1.53</v>
      </c>
      <c r="N115" s="113">
        <f t="shared" si="16"/>
        <v>30.92</v>
      </c>
      <c r="Q115" s="98"/>
    </row>
    <row r="116" spans="2:17" s="83" customFormat="1" ht="28.5" customHeight="1">
      <c r="B116" s="172" t="s">
        <v>249</v>
      </c>
      <c r="C116" s="245" t="s">
        <v>133</v>
      </c>
      <c r="D116" s="246"/>
      <c r="E116" s="246"/>
      <c r="F116" s="246"/>
      <c r="G116" s="246"/>
      <c r="H116" s="246"/>
      <c r="I116" s="246"/>
      <c r="J116" s="247"/>
      <c r="K116" s="100" t="s">
        <v>6</v>
      </c>
      <c r="L116" s="99">
        <f>((4.55+1.9)/2)*4.4*0.3</f>
        <v>4.257</v>
      </c>
      <c r="M116" s="99">
        <v>200.38</v>
      </c>
      <c r="N116" s="113">
        <f t="shared" si="16"/>
        <v>853.02</v>
      </c>
      <c r="Q116" s="98"/>
    </row>
    <row r="117" spans="2:17" s="83" customFormat="1" ht="36" customHeight="1">
      <c r="B117" s="172" t="str">
        <f>B102</f>
        <v>SINAPI-95241</v>
      </c>
      <c r="C117" s="245" t="s">
        <v>140</v>
      </c>
      <c r="D117" s="246"/>
      <c r="E117" s="246"/>
      <c r="F117" s="246"/>
      <c r="G117" s="246"/>
      <c r="H117" s="246"/>
      <c r="I117" s="246"/>
      <c r="J117" s="247"/>
      <c r="K117" s="100" t="s">
        <v>36</v>
      </c>
      <c r="L117" s="99">
        <f>((4.55+1.9)/2)*4.4</f>
        <v>14.19</v>
      </c>
      <c r="M117" s="99">
        <f>M88</f>
        <v>17.85</v>
      </c>
      <c r="N117" s="113">
        <f t="shared" si="16"/>
        <v>253.29</v>
      </c>
      <c r="Q117" s="98"/>
    </row>
    <row r="118" spans="2:17" s="83" customFormat="1" ht="30" customHeight="1">
      <c r="B118" s="172" t="str">
        <f>B103</f>
        <v>SINAPI-(94964 + 74157/004)</v>
      </c>
      <c r="C118" s="245" t="s">
        <v>106</v>
      </c>
      <c r="D118" s="246"/>
      <c r="E118" s="246"/>
      <c r="F118" s="246"/>
      <c r="G118" s="246"/>
      <c r="H118" s="246"/>
      <c r="I118" s="246"/>
      <c r="J118" s="247"/>
      <c r="K118" s="100" t="s">
        <v>6</v>
      </c>
      <c r="L118" s="99">
        <f>(4.55+2*4.21+1.9)*2.39*0.2</f>
        <v>7.10786</v>
      </c>
      <c r="M118" s="99">
        <f>M89</f>
        <v>340.44</v>
      </c>
      <c r="N118" s="113">
        <f t="shared" si="16"/>
        <v>2419.8</v>
      </c>
      <c r="Q118" s="98"/>
    </row>
    <row r="119" spans="2:17" s="83" customFormat="1" ht="30">
      <c r="B119" s="172" t="str">
        <f>B104</f>
        <v>SINAPI-(94964 + 74157/004)</v>
      </c>
      <c r="C119" s="245" t="s">
        <v>130</v>
      </c>
      <c r="D119" s="246"/>
      <c r="E119" s="246"/>
      <c r="F119" s="246"/>
      <c r="G119" s="246"/>
      <c r="H119" s="246"/>
      <c r="I119" s="246"/>
      <c r="J119" s="247"/>
      <c r="K119" s="100" t="s">
        <v>6</v>
      </c>
      <c r="L119" s="99">
        <f>(((4.55+1.9)/2)*4.4)*0.2+(((4.55+1.9)/2)*4.4)*0.2</f>
        <v>5.676</v>
      </c>
      <c r="M119" s="99">
        <f>M90</f>
        <v>340.44</v>
      </c>
      <c r="N119" s="113">
        <f t="shared" si="16"/>
        <v>1932.34</v>
      </c>
      <c r="Q119" s="98"/>
    </row>
    <row r="120" spans="2:17" s="83" customFormat="1" ht="30" customHeight="1">
      <c r="B120" s="172" t="str">
        <f>B105</f>
        <v>SINAPI-92794</v>
      </c>
      <c r="C120" s="245" t="s">
        <v>145</v>
      </c>
      <c r="D120" s="246"/>
      <c r="E120" s="246"/>
      <c r="F120" s="246"/>
      <c r="G120" s="246"/>
      <c r="H120" s="246"/>
      <c r="I120" s="246"/>
      <c r="J120" s="247"/>
      <c r="K120" s="100" t="s">
        <v>37</v>
      </c>
      <c r="L120" s="99">
        <f>(L119+L118)*70</f>
        <v>894.8702000000001</v>
      </c>
      <c r="M120" s="99">
        <f>M91</f>
        <v>4.55</v>
      </c>
      <c r="N120" s="113">
        <f t="shared" si="16"/>
        <v>4071.66</v>
      </c>
      <c r="Q120" s="98"/>
    </row>
    <row r="121" spans="2:17" s="83" customFormat="1" ht="63.75" customHeight="1">
      <c r="B121" s="172" t="str">
        <f>B106</f>
        <v>SINAPI-92423</v>
      </c>
      <c r="C121" s="245" t="s">
        <v>148</v>
      </c>
      <c r="D121" s="246"/>
      <c r="E121" s="246"/>
      <c r="F121" s="246"/>
      <c r="G121" s="246"/>
      <c r="H121" s="246"/>
      <c r="I121" s="246"/>
      <c r="J121" s="247"/>
      <c r="K121" s="100" t="s">
        <v>36</v>
      </c>
      <c r="L121" s="99">
        <f>2*(4.55+2*4.21+1.9)*2.39*4-(2*3)*3.1416*1.5*1.5*0.25-3.1416*0.6*0.6*0.25</f>
        <v>273.428756</v>
      </c>
      <c r="M121" s="99">
        <f>M92</f>
        <v>39.5</v>
      </c>
      <c r="N121" s="113">
        <f t="shared" si="16"/>
        <v>10800.44</v>
      </c>
      <c r="Q121" s="98"/>
    </row>
    <row r="122" spans="2:17" s="83" customFormat="1" ht="46.5" customHeight="1">
      <c r="B122" s="172" t="s">
        <v>250</v>
      </c>
      <c r="C122" s="245" t="s">
        <v>147</v>
      </c>
      <c r="D122" s="246"/>
      <c r="E122" s="246"/>
      <c r="F122" s="246"/>
      <c r="G122" s="246"/>
      <c r="H122" s="246"/>
      <c r="I122" s="246"/>
      <c r="J122" s="247"/>
      <c r="K122" s="100" t="s">
        <v>36</v>
      </c>
      <c r="L122" s="99">
        <f>((4.55+1.9)/2)*4.4</f>
        <v>14.19</v>
      </c>
      <c r="M122" s="99">
        <v>103.98</v>
      </c>
      <c r="N122" s="113">
        <f>ROUND(M122*L122,2)</f>
        <v>1475.48</v>
      </c>
      <c r="Q122" s="98"/>
    </row>
    <row r="123" spans="2:14" s="83" customFormat="1" ht="30" customHeight="1">
      <c r="B123" s="172" t="str">
        <f>B107</f>
        <v>SINAPI-21090</v>
      </c>
      <c r="C123" s="245" t="s">
        <v>142</v>
      </c>
      <c r="D123" s="246"/>
      <c r="E123" s="246"/>
      <c r="F123" s="246"/>
      <c r="G123" s="246"/>
      <c r="H123" s="246"/>
      <c r="I123" s="246"/>
      <c r="J123" s="247"/>
      <c r="K123" s="100" t="s">
        <v>80</v>
      </c>
      <c r="L123" s="99">
        <v>1</v>
      </c>
      <c r="M123" s="99">
        <f>M93</f>
        <v>394.23</v>
      </c>
      <c r="N123" s="113">
        <f t="shared" si="16"/>
        <v>394.23</v>
      </c>
    </row>
    <row r="124" spans="2:14" s="83" customFormat="1" ht="28.5" customHeight="1">
      <c r="B124" s="172" t="str">
        <f>B108</f>
        <v>SINAPI-73607</v>
      </c>
      <c r="C124" s="245" t="s">
        <v>82</v>
      </c>
      <c r="D124" s="246"/>
      <c r="E124" s="246"/>
      <c r="F124" s="246"/>
      <c r="G124" s="246"/>
      <c r="H124" s="246"/>
      <c r="I124" s="246"/>
      <c r="J124" s="247"/>
      <c r="K124" s="100" t="s">
        <v>80</v>
      </c>
      <c r="L124" s="99">
        <v>1</v>
      </c>
      <c r="M124" s="99">
        <f>M94</f>
        <v>72</v>
      </c>
      <c r="N124" s="113">
        <f t="shared" si="16"/>
        <v>72</v>
      </c>
    </row>
    <row r="125" spans="2:14" s="83" customFormat="1" ht="15">
      <c r="B125" s="114"/>
      <c r="C125" s="248"/>
      <c r="D125" s="248"/>
      <c r="E125" s="248"/>
      <c r="F125" s="248"/>
      <c r="G125" s="248"/>
      <c r="H125" s="150"/>
      <c r="I125" s="150"/>
      <c r="J125" s="150"/>
      <c r="K125" s="115"/>
      <c r="L125" s="116"/>
      <c r="M125" s="117" t="s">
        <v>79</v>
      </c>
      <c r="N125" s="126">
        <f>SUM(N113:N124)</f>
        <v>22599.629999999997</v>
      </c>
    </row>
    <row r="126" spans="2:14" s="83" customFormat="1" ht="15">
      <c r="B126" s="114"/>
      <c r="C126" s="150"/>
      <c r="D126" s="150"/>
      <c r="E126" s="150"/>
      <c r="F126" s="150"/>
      <c r="G126" s="150"/>
      <c r="H126" s="150"/>
      <c r="I126" s="150"/>
      <c r="J126" s="150"/>
      <c r="K126" s="115"/>
      <c r="L126" s="119"/>
      <c r="M126" s="120"/>
      <c r="N126" s="122"/>
    </row>
    <row r="127" spans="2:14" s="83" customFormat="1" ht="15">
      <c r="B127" s="249" t="s">
        <v>170</v>
      </c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1"/>
    </row>
    <row r="128" spans="2:14" s="83" customFormat="1" ht="15">
      <c r="B128" s="78" t="s">
        <v>76</v>
      </c>
      <c r="C128" s="252" t="s">
        <v>42</v>
      </c>
      <c r="D128" s="253"/>
      <c r="E128" s="253"/>
      <c r="F128" s="253"/>
      <c r="G128" s="253"/>
      <c r="H128" s="253"/>
      <c r="I128" s="253"/>
      <c r="J128" s="254"/>
      <c r="K128" s="78" t="s">
        <v>77</v>
      </c>
      <c r="L128" s="78" t="s">
        <v>43</v>
      </c>
      <c r="M128" s="78" t="s">
        <v>78</v>
      </c>
      <c r="N128" s="78" t="s">
        <v>79</v>
      </c>
    </row>
    <row r="129" spans="2:17" s="83" customFormat="1" ht="30" customHeight="1">
      <c r="B129" s="172" t="str">
        <f aca="true" t="shared" si="17" ref="B129:B137">B113</f>
        <v>SINAPI-93358</v>
      </c>
      <c r="C129" s="245" t="s">
        <v>81</v>
      </c>
      <c r="D129" s="246"/>
      <c r="E129" s="246"/>
      <c r="F129" s="246"/>
      <c r="G129" s="246"/>
      <c r="H129" s="246"/>
      <c r="I129" s="246"/>
      <c r="J129" s="247"/>
      <c r="K129" s="100" t="s">
        <v>6</v>
      </c>
      <c r="L129" s="99">
        <f>3*0.5*0.2*4.95</f>
        <v>1.4850000000000003</v>
      </c>
      <c r="M129" s="99">
        <f aca="true" t="shared" si="18" ref="M129:M137">M113</f>
        <v>53.16</v>
      </c>
      <c r="N129" s="113">
        <f>ROUND(M129*L129,2)</f>
        <v>78.94</v>
      </c>
      <c r="Q129" s="98"/>
    </row>
    <row r="130" spans="2:17" s="83" customFormat="1" ht="30" customHeight="1">
      <c r="B130" s="172" t="str">
        <f t="shared" si="17"/>
        <v>SINAPI-95302</v>
      </c>
      <c r="C130" s="245" t="s">
        <v>83</v>
      </c>
      <c r="D130" s="246"/>
      <c r="E130" s="246"/>
      <c r="F130" s="246"/>
      <c r="G130" s="246"/>
      <c r="H130" s="246"/>
      <c r="I130" s="246"/>
      <c r="J130" s="247"/>
      <c r="K130" s="100" t="s">
        <v>41</v>
      </c>
      <c r="L130" s="99">
        <f>L129*4</f>
        <v>5.940000000000001</v>
      </c>
      <c r="M130" s="99">
        <f t="shared" si="18"/>
        <v>1.38</v>
      </c>
      <c r="N130" s="113">
        <f aca="true" t="shared" si="19" ref="N130:N137">ROUND(M130*L130,2)</f>
        <v>8.2</v>
      </c>
      <c r="Q130" s="98"/>
    </row>
    <row r="131" spans="2:17" s="83" customFormat="1" ht="30" customHeight="1">
      <c r="B131" s="172" t="str">
        <f t="shared" si="17"/>
        <v>SINAPI-74010/001</v>
      </c>
      <c r="C131" s="245" t="s">
        <v>21</v>
      </c>
      <c r="D131" s="246"/>
      <c r="E131" s="246"/>
      <c r="F131" s="246"/>
      <c r="G131" s="246"/>
      <c r="H131" s="246"/>
      <c r="I131" s="246"/>
      <c r="J131" s="247"/>
      <c r="K131" s="100" t="s">
        <v>6</v>
      </c>
      <c r="L131" s="99">
        <f>L129</f>
        <v>1.4850000000000003</v>
      </c>
      <c r="M131" s="99">
        <f t="shared" si="18"/>
        <v>1.53</v>
      </c>
      <c r="N131" s="113">
        <f t="shared" si="19"/>
        <v>2.27</v>
      </c>
      <c r="Q131" s="98"/>
    </row>
    <row r="132" spans="2:16" s="83" customFormat="1" ht="30" customHeight="1">
      <c r="B132" s="172" t="str">
        <f t="shared" si="17"/>
        <v>SINAPI-73698</v>
      </c>
      <c r="C132" s="245" t="s">
        <v>133</v>
      </c>
      <c r="D132" s="246"/>
      <c r="E132" s="246"/>
      <c r="F132" s="246"/>
      <c r="G132" s="246"/>
      <c r="H132" s="246"/>
      <c r="I132" s="246"/>
      <c r="J132" s="247"/>
      <c r="K132" s="100" t="s">
        <v>6</v>
      </c>
      <c r="L132" s="99">
        <f>0.6*0.3*4.95+1.62*0.3*4.95</f>
        <v>3.2967</v>
      </c>
      <c r="M132" s="99">
        <f t="shared" si="18"/>
        <v>200.38</v>
      </c>
      <c r="N132" s="113">
        <f t="shared" si="19"/>
        <v>660.59</v>
      </c>
      <c r="P132" s="79"/>
    </row>
    <row r="133" spans="2:16" s="83" customFormat="1" ht="34.5" customHeight="1">
      <c r="B133" s="172" t="str">
        <f t="shared" si="17"/>
        <v>SINAPI-95241</v>
      </c>
      <c r="C133" s="245" t="s">
        <v>140</v>
      </c>
      <c r="D133" s="246"/>
      <c r="E133" s="246"/>
      <c r="F133" s="246"/>
      <c r="G133" s="246"/>
      <c r="H133" s="246"/>
      <c r="I133" s="246"/>
      <c r="J133" s="247"/>
      <c r="K133" s="100" t="s">
        <v>36</v>
      </c>
      <c r="L133" s="99">
        <f>4.95*2.7</f>
        <v>13.365000000000002</v>
      </c>
      <c r="M133" s="99">
        <f t="shared" si="18"/>
        <v>17.85</v>
      </c>
      <c r="N133" s="113">
        <f t="shared" si="19"/>
        <v>238.57</v>
      </c>
      <c r="P133"/>
    </row>
    <row r="134" spans="2:16" s="83" customFormat="1" ht="45" customHeight="1">
      <c r="B134" s="172" t="str">
        <f t="shared" si="17"/>
        <v>SINAPI-(94964 + 74157/004)</v>
      </c>
      <c r="C134" s="245" t="s">
        <v>135</v>
      </c>
      <c r="D134" s="246"/>
      <c r="E134" s="246"/>
      <c r="F134" s="246"/>
      <c r="G134" s="246"/>
      <c r="H134" s="246"/>
      <c r="I134" s="246"/>
      <c r="J134" s="247"/>
      <c r="K134" s="100" t="s">
        <v>6</v>
      </c>
      <c r="L134" s="99">
        <f>2.6*4.95*0.2-2*3.1416*1.2*1.2*0.25*0.2+2*3.275*0.2</f>
        <v>3.4316096000000003</v>
      </c>
      <c r="M134" s="99">
        <f t="shared" si="18"/>
        <v>340.44</v>
      </c>
      <c r="N134" s="113">
        <f t="shared" si="19"/>
        <v>1168.26</v>
      </c>
      <c r="P134"/>
    </row>
    <row r="135" spans="2:16" s="83" customFormat="1" ht="45" customHeight="1">
      <c r="B135" s="172" t="str">
        <f t="shared" si="17"/>
        <v>SINAPI-(94964 + 74157/004)</v>
      </c>
      <c r="C135" s="245" t="s">
        <v>134</v>
      </c>
      <c r="D135" s="246"/>
      <c r="E135" s="246"/>
      <c r="F135" s="246"/>
      <c r="G135" s="246"/>
      <c r="H135" s="246"/>
      <c r="I135" s="246"/>
      <c r="J135" s="247"/>
      <c r="K135" s="100" t="s">
        <v>6</v>
      </c>
      <c r="L135" s="99">
        <f>1*4.95</f>
        <v>4.95</v>
      </c>
      <c r="M135" s="99">
        <f t="shared" si="18"/>
        <v>340.44</v>
      </c>
      <c r="N135" s="113">
        <f t="shared" si="19"/>
        <v>1685.18</v>
      </c>
      <c r="P135"/>
    </row>
    <row r="136" spans="2:17" s="83" customFormat="1" ht="30" customHeight="1">
      <c r="B136" s="172" t="str">
        <f t="shared" si="17"/>
        <v>SINAPI-92794</v>
      </c>
      <c r="C136" s="245" t="s">
        <v>145</v>
      </c>
      <c r="D136" s="246"/>
      <c r="E136" s="246"/>
      <c r="F136" s="246"/>
      <c r="G136" s="246"/>
      <c r="H136" s="246"/>
      <c r="I136" s="246"/>
      <c r="J136" s="247"/>
      <c r="K136" s="100" t="s">
        <v>37</v>
      </c>
      <c r="L136" s="99">
        <f>70*(L135+L134)</f>
        <v>586.7126720000001</v>
      </c>
      <c r="M136" s="99">
        <f t="shared" si="18"/>
        <v>4.55</v>
      </c>
      <c r="N136" s="113">
        <f t="shared" si="19"/>
        <v>2669.54</v>
      </c>
      <c r="P136"/>
      <c r="Q136" s="98"/>
    </row>
    <row r="137" spans="2:17" s="83" customFormat="1" ht="60.75" customHeight="1">
      <c r="B137" s="172" t="str">
        <f t="shared" si="17"/>
        <v>SINAPI-92423</v>
      </c>
      <c r="C137" s="245" t="s">
        <v>148</v>
      </c>
      <c r="D137" s="246"/>
      <c r="E137" s="246"/>
      <c r="F137" s="246"/>
      <c r="G137" s="246"/>
      <c r="H137" s="246"/>
      <c r="I137" s="246"/>
      <c r="J137" s="247"/>
      <c r="K137" s="100" t="s">
        <v>36</v>
      </c>
      <c r="L137" s="99">
        <f>2*2.6*4.95-4*3.1416*1.2*1.2*0.25+4*3.275</f>
        <v>34.316096</v>
      </c>
      <c r="M137" s="99">
        <f t="shared" si="18"/>
        <v>39.5</v>
      </c>
      <c r="N137" s="113">
        <f t="shared" si="19"/>
        <v>1355.49</v>
      </c>
      <c r="Q137" s="98"/>
    </row>
    <row r="138" spans="2:16" s="83" customFormat="1" ht="15">
      <c r="B138" s="114"/>
      <c r="C138" s="248"/>
      <c r="D138" s="248"/>
      <c r="E138" s="248"/>
      <c r="F138" s="248"/>
      <c r="G138" s="248"/>
      <c r="H138" s="150"/>
      <c r="I138" s="150"/>
      <c r="J138" s="150"/>
      <c r="K138" s="115"/>
      <c r="L138" s="116"/>
      <c r="M138" s="117" t="s">
        <v>79</v>
      </c>
      <c r="N138" s="126">
        <f>SUM(N129:N137)</f>
        <v>7867.04</v>
      </c>
      <c r="P138"/>
    </row>
    <row r="139" spans="2:16" s="83" customFormat="1" ht="15">
      <c r="B139" s="114"/>
      <c r="C139" s="150"/>
      <c r="D139" s="150"/>
      <c r="E139" s="150"/>
      <c r="F139" s="150"/>
      <c r="G139" s="150"/>
      <c r="H139" s="150"/>
      <c r="I139" s="150"/>
      <c r="J139" s="150"/>
      <c r="K139" s="115"/>
      <c r="L139" s="119"/>
      <c r="M139" s="120"/>
      <c r="N139" s="122"/>
      <c r="P139"/>
    </row>
    <row r="140" spans="2:16" s="83" customFormat="1" ht="15">
      <c r="B140" s="114"/>
      <c r="C140" s="150"/>
      <c r="D140" s="150"/>
      <c r="E140" s="150"/>
      <c r="F140" s="150"/>
      <c r="G140" s="150"/>
      <c r="H140" s="150"/>
      <c r="I140" s="150"/>
      <c r="J140" s="150"/>
      <c r="K140" s="115"/>
      <c r="L140" s="119"/>
      <c r="M140" s="120"/>
      <c r="N140" s="122"/>
      <c r="P140"/>
    </row>
    <row r="141" spans="2:16" s="83" customFormat="1" ht="1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P141"/>
    </row>
    <row r="142" spans="2:16" s="83" customFormat="1" ht="1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P142"/>
    </row>
    <row r="143" spans="2:16" s="79" customFormat="1" ht="30" customHeight="1">
      <c r="B143" s="249" t="s">
        <v>103</v>
      </c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1"/>
      <c r="P143"/>
    </row>
    <row r="144" spans="2:14" ht="15">
      <c r="B144" s="78" t="s">
        <v>76</v>
      </c>
      <c r="C144" s="252" t="s">
        <v>42</v>
      </c>
      <c r="D144" s="253"/>
      <c r="E144" s="253"/>
      <c r="F144" s="253"/>
      <c r="G144" s="253"/>
      <c r="H144" s="253"/>
      <c r="I144" s="253"/>
      <c r="J144" s="254"/>
      <c r="K144" s="78" t="s">
        <v>77</v>
      </c>
      <c r="L144" s="78" t="s">
        <v>43</v>
      </c>
      <c r="M144" s="78" t="s">
        <v>78</v>
      </c>
      <c r="N144" s="78" t="s">
        <v>79</v>
      </c>
    </row>
    <row r="145" spans="2:14" ht="30" customHeight="1">
      <c r="B145" s="172" t="str">
        <f>B129</f>
        <v>SINAPI-93358</v>
      </c>
      <c r="C145" s="245" t="s">
        <v>81</v>
      </c>
      <c r="D145" s="246"/>
      <c r="E145" s="246"/>
      <c r="F145" s="246"/>
      <c r="G145" s="246"/>
      <c r="H145" s="246"/>
      <c r="I145" s="246"/>
      <c r="J145" s="247"/>
      <c r="K145" s="100" t="s">
        <v>6</v>
      </c>
      <c r="L145" s="99">
        <f>1.4*1.58*0.75</f>
        <v>1.6589999999999998</v>
      </c>
      <c r="M145" s="99">
        <f>M129</f>
        <v>53.16</v>
      </c>
      <c r="N145" s="113">
        <f>ROUND(M145*L145,2)</f>
        <v>88.19</v>
      </c>
    </row>
    <row r="146" spans="2:18" ht="30" customHeight="1">
      <c r="B146" s="172" t="str">
        <f>B130</f>
        <v>SINAPI-95302</v>
      </c>
      <c r="C146" s="245" t="s">
        <v>83</v>
      </c>
      <c r="D146" s="246"/>
      <c r="E146" s="246"/>
      <c r="F146" s="246"/>
      <c r="G146" s="246"/>
      <c r="H146" s="246"/>
      <c r="I146" s="246"/>
      <c r="J146" s="247"/>
      <c r="K146" s="100" t="s">
        <v>41</v>
      </c>
      <c r="L146" s="99">
        <f>L145*4</f>
        <v>6.635999999999999</v>
      </c>
      <c r="M146" s="99">
        <f>M130</f>
        <v>1.38</v>
      </c>
      <c r="N146" s="113">
        <f aca="true" t="shared" si="20" ref="N146:N154">ROUND(M146*L146,2)</f>
        <v>9.16</v>
      </c>
      <c r="P146" s="81"/>
      <c r="R146" t="s">
        <v>84</v>
      </c>
    </row>
    <row r="147" spans="2:16" ht="30" customHeight="1">
      <c r="B147" s="172" t="str">
        <f>B131</f>
        <v>SINAPI-74010/001</v>
      </c>
      <c r="C147" s="245" t="s">
        <v>21</v>
      </c>
      <c r="D147" s="246"/>
      <c r="E147" s="246"/>
      <c r="F147" s="246"/>
      <c r="G147" s="246"/>
      <c r="H147" s="246"/>
      <c r="I147" s="246"/>
      <c r="J147" s="247"/>
      <c r="K147" s="100" t="s">
        <v>6</v>
      </c>
      <c r="L147" s="99">
        <f>L145</f>
        <v>1.6589999999999998</v>
      </c>
      <c r="M147" s="99">
        <f>M131</f>
        <v>1.53</v>
      </c>
      <c r="N147" s="113">
        <f t="shared" si="20"/>
        <v>2.54</v>
      </c>
      <c r="P147" s="81"/>
    </row>
    <row r="148" spans="2:16" s="83" customFormat="1" ht="33.75" customHeight="1">
      <c r="B148" s="172" t="str">
        <f>B133</f>
        <v>SINAPI-95241</v>
      </c>
      <c r="C148" s="245" t="s">
        <v>140</v>
      </c>
      <c r="D148" s="246"/>
      <c r="E148" s="246"/>
      <c r="F148" s="246"/>
      <c r="G148" s="246"/>
      <c r="H148" s="246"/>
      <c r="I148" s="246"/>
      <c r="J148" s="247"/>
      <c r="K148" s="100" t="s">
        <v>36</v>
      </c>
      <c r="L148" s="99">
        <f>1.4*0.75</f>
        <v>1.0499999999999998</v>
      </c>
      <c r="M148" s="99">
        <f>M133</f>
        <v>17.85</v>
      </c>
      <c r="N148" s="113">
        <f t="shared" si="20"/>
        <v>18.74</v>
      </c>
      <c r="P148" s="81"/>
    </row>
    <row r="149" spans="2:16" ht="30" customHeight="1">
      <c r="B149" s="174" t="s">
        <v>44</v>
      </c>
      <c r="C149" s="245" t="s">
        <v>152</v>
      </c>
      <c r="D149" s="246"/>
      <c r="E149" s="246"/>
      <c r="F149" s="246"/>
      <c r="G149" s="246"/>
      <c r="H149" s="246"/>
      <c r="I149" s="246"/>
      <c r="J149" s="247"/>
      <c r="K149" s="100" t="s">
        <v>36</v>
      </c>
      <c r="L149" s="99">
        <f>(1.5-0.1-0.25)*0.75*2+(1.5-0.1-0.25)*1.1*2</f>
        <v>4.255</v>
      </c>
      <c r="M149" s="99">
        <f>N7</f>
        <v>74.51</v>
      </c>
      <c r="N149" s="113">
        <f t="shared" si="20"/>
        <v>317.04</v>
      </c>
      <c r="P149" s="81"/>
    </row>
    <row r="150" spans="2:16" ht="36.75" customHeight="1">
      <c r="B150" s="172" t="s">
        <v>251</v>
      </c>
      <c r="C150" s="245" t="s">
        <v>153</v>
      </c>
      <c r="D150" s="246"/>
      <c r="E150" s="246"/>
      <c r="F150" s="246"/>
      <c r="G150" s="246"/>
      <c r="H150" s="246"/>
      <c r="I150" s="246"/>
      <c r="J150" s="247"/>
      <c r="K150" s="100" t="s">
        <v>36</v>
      </c>
      <c r="L150" s="99">
        <f>(1.5-0.1-0.25)*0.45*2+(1.5-0.1-0.25)*1.1*2</f>
        <v>3.5649999999999995</v>
      </c>
      <c r="M150" s="99">
        <v>26.56</v>
      </c>
      <c r="N150" s="113">
        <f t="shared" si="20"/>
        <v>94.69</v>
      </c>
      <c r="P150" s="83"/>
    </row>
    <row r="151" spans="2:16" ht="30" customHeight="1">
      <c r="B151" s="172" t="str">
        <f>B135</f>
        <v>SINAPI-(94964 + 74157/004)</v>
      </c>
      <c r="C151" s="245" t="s">
        <v>144</v>
      </c>
      <c r="D151" s="246"/>
      <c r="E151" s="246"/>
      <c r="F151" s="246"/>
      <c r="G151" s="246"/>
      <c r="H151" s="246"/>
      <c r="I151" s="246"/>
      <c r="J151" s="247"/>
      <c r="K151" s="100" t="s">
        <v>6</v>
      </c>
      <c r="L151" s="99">
        <f>0.08*1.12*0.3+0.25*0.15*(0.45+0.45+1.4+1.4)+1.4*0.75*0.1</f>
        <v>0.27063</v>
      </c>
      <c r="M151" s="99">
        <f>M134</f>
        <v>340.44</v>
      </c>
      <c r="N151" s="113">
        <f t="shared" si="20"/>
        <v>92.13</v>
      </c>
      <c r="P151" s="81"/>
    </row>
    <row r="152" spans="2:16" ht="30" customHeight="1">
      <c r="B152" s="172" t="str">
        <f>B136</f>
        <v>SINAPI-92794</v>
      </c>
      <c r="C152" s="245" t="s">
        <v>145</v>
      </c>
      <c r="D152" s="246"/>
      <c r="E152" s="246"/>
      <c r="F152" s="246"/>
      <c r="G152" s="246"/>
      <c r="H152" s="246"/>
      <c r="I152" s="246"/>
      <c r="J152" s="247"/>
      <c r="K152" s="100" t="s">
        <v>37</v>
      </c>
      <c r="L152" s="99">
        <f>0.08*1.12*0.3*80</f>
        <v>2.1504000000000003</v>
      </c>
      <c r="M152" s="99">
        <f>M136</f>
        <v>4.55</v>
      </c>
      <c r="N152" s="113">
        <f t="shared" si="20"/>
        <v>9.78</v>
      </c>
      <c r="P152" s="81"/>
    </row>
    <row r="153" spans="2:16" ht="56.25" customHeight="1">
      <c r="B153" s="172" t="str">
        <f>B137</f>
        <v>SINAPI-92423</v>
      </c>
      <c r="C153" s="245" t="s">
        <v>141</v>
      </c>
      <c r="D153" s="246"/>
      <c r="E153" s="246"/>
      <c r="F153" s="246"/>
      <c r="G153" s="246"/>
      <c r="H153" s="246"/>
      <c r="I153" s="246"/>
      <c r="J153" s="247"/>
      <c r="K153" s="100" t="s">
        <v>36</v>
      </c>
      <c r="L153" s="99">
        <f>0.25*(0.45+0.45+1.4+1.4)*2</f>
        <v>1.8499999999999999</v>
      </c>
      <c r="M153" s="99">
        <f>M137</f>
        <v>39.5</v>
      </c>
      <c r="N153" s="113">
        <f t="shared" si="20"/>
        <v>73.08</v>
      </c>
      <c r="P153" s="81"/>
    </row>
    <row r="154" spans="2:16" ht="30" customHeight="1">
      <c r="B154" s="172" t="s">
        <v>252</v>
      </c>
      <c r="C154" s="245" t="s">
        <v>85</v>
      </c>
      <c r="D154" s="246"/>
      <c r="E154" s="246"/>
      <c r="F154" s="246"/>
      <c r="G154" s="246"/>
      <c r="H154" s="246"/>
      <c r="I154" s="246"/>
      <c r="J154" s="247"/>
      <c r="K154" s="100" t="s">
        <v>80</v>
      </c>
      <c r="L154" s="99">
        <v>1</v>
      </c>
      <c r="M154" s="99">
        <v>283.44</v>
      </c>
      <c r="N154" s="113">
        <f t="shared" si="20"/>
        <v>283.44</v>
      </c>
      <c r="P154" s="81"/>
    </row>
    <row r="155" spans="2:14" ht="15">
      <c r="B155" s="114"/>
      <c r="C155" s="248"/>
      <c r="D155" s="248"/>
      <c r="E155" s="248"/>
      <c r="F155" s="248"/>
      <c r="G155" s="248"/>
      <c r="H155" s="150"/>
      <c r="I155" s="150"/>
      <c r="J155" s="150"/>
      <c r="K155" s="115"/>
      <c r="L155" s="116"/>
      <c r="M155" s="117" t="s">
        <v>79</v>
      </c>
      <c r="N155" s="126">
        <f>SUM(N145:N154)</f>
        <v>988.79</v>
      </c>
    </row>
    <row r="157" spans="2:16" s="81" customFormat="1" ht="1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P157"/>
    </row>
    <row r="158" spans="2:16" s="81" customFormat="1" ht="15">
      <c r="B158" s="258" t="s">
        <v>271</v>
      </c>
      <c r="C158" s="259"/>
      <c r="D158" s="259"/>
      <c r="E158" s="259"/>
      <c r="F158" s="259"/>
      <c r="G158" s="259"/>
      <c r="H158" s="259"/>
      <c r="I158" s="259"/>
      <c r="J158" s="259"/>
      <c r="K158" s="259"/>
      <c r="L158" s="259"/>
      <c r="M158" s="259"/>
      <c r="N158" s="260"/>
      <c r="P158"/>
    </row>
    <row r="159" spans="2:16" s="81" customFormat="1" ht="15">
      <c r="B159" s="78" t="s">
        <v>76</v>
      </c>
      <c r="C159" s="252" t="s">
        <v>42</v>
      </c>
      <c r="D159" s="253"/>
      <c r="E159" s="253"/>
      <c r="F159" s="253"/>
      <c r="G159" s="253"/>
      <c r="H159" s="253"/>
      <c r="I159" s="253"/>
      <c r="J159" s="254"/>
      <c r="K159" s="78" t="s">
        <v>77</v>
      </c>
      <c r="L159" s="78" t="s">
        <v>43</v>
      </c>
      <c r="M159" s="78" t="s">
        <v>78</v>
      </c>
      <c r="N159" s="78" t="s">
        <v>79</v>
      </c>
      <c r="P159"/>
    </row>
    <row r="160" spans="2:16" s="81" customFormat="1" ht="15">
      <c r="B160" s="174" t="s">
        <v>253</v>
      </c>
      <c r="C160" s="245" t="s">
        <v>275</v>
      </c>
      <c r="D160" s="246"/>
      <c r="E160" s="246"/>
      <c r="F160" s="246"/>
      <c r="G160" s="246"/>
      <c r="H160" s="246"/>
      <c r="I160" s="246"/>
      <c r="J160" s="247"/>
      <c r="K160" s="100" t="s">
        <v>6</v>
      </c>
      <c r="L160" s="99">
        <v>0.1</v>
      </c>
      <c r="M160" s="99">
        <v>60</v>
      </c>
      <c r="N160" s="113">
        <f>ROUND(M160*L160,2)</f>
        <v>6</v>
      </c>
      <c r="P160"/>
    </row>
    <row r="161" spans="2:16" s="83" customFormat="1" ht="30.75" customHeight="1">
      <c r="B161" s="172" t="s">
        <v>222</v>
      </c>
      <c r="C161" s="263" t="s">
        <v>113</v>
      </c>
      <c r="D161" s="263"/>
      <c r="E161" s="263"/>
      <c r="F161" s="263"/>
      <c r="G161" s="263"/>
      <c r="H161" s="263"/>
      <c r="I161" s="263"/>
      <c r="J161" s="263"/>
      <c r="K161" s="100" t="s">
        <v>20</v>
      </c>
      <c r="L161" s="99">
        <v>0.4</v>
      </c>
      <c r="M161" s="99">
        <v>1.38</v>
      </c>
      <c r="N161" s="113">
        <f>ROUND(M161*L161,2)</f>
        <v>0.55</v>
      </c>
      <c r="P161"/>
    </row>
    <row r="162" spans="2:16" s="81" customFormat="1" ht="15">
      <c r="B162" s="172" t="s">
        <v>254</v>
      </c>
      <c r="C162" s="245" t="s">
        <v>86</v>
      </c>
      <c r="D162" s="246"/>
      <c r="E162" s="246"/>
      <c r="F162" s="246"/>
      <c r="G162" s="246"/>
      <c r="H162" s="246"/>
      <c r="I162" s="246"/>
      <c r="J162" s="247"/>
      <c r="K162" s="100" t="s">
        <v>33</v>
      </c>
      <c r="L162" s="99">
        <v>0.4</v>
      </c>
      <c r="M162" s="99">
        <v>19.42</v>
      </c>
      <c r="N162" s="113">
        <f>ROUND(M162*L162,2)</f>
        <v>7.77</v>
      </c>
      <c r="P162"/>
    </row>
    <row r="163" spans="2:16" s="81" customFormat="1" ht="15">
      <c r="B163" s="172" t="s">
        <v>233</v>
      </c>
      <c r="C163" s="245" t="s">
        <v>109</v>
      </c>
      <c r="D163" s="246"/>
      <c r="E163" s="246"/>
      <c r="F163" s="246"/>
      <c r="G163" s="246"/>
      <c r="H163" s="246"/>
      <c r="I163" s="246"/>
      <c r="J163" s="247"/>
      <c r="K163" s="100" t="s">
        <v>33</v>
      </c>
      <c r="L163" s="99">
        <v>1</v>
      </c>
      <c r="M163" s="99">
        <v>13.44</v>
      </c>
      <c r="N163" s="113">
        <f>ROUND(M163*L163,2)</f>
        <v>13.44</v>
      </c>
      <c r="P163"/>
    </row>
    <row r="164" spans="2:16" s="81" customFormat="1" ht="15"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2"/>
      <c r="M164" s="117" t="s">
        <v>79</v>
      </c>
      <c r="N164" s="123">
        <f>SUM(N160:N163)</f>
        <v>27.759999999999998</v>
      </c>
      <c r="P164" s="83"/>
    </row>
    <row r="165" spans="2:16" s="81" customFormat="1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P165"/>
    </row>
    <row r="167" ht="15">
      <c r="P167" s="83"/>
    </row>
    <row r="168" spans="2:14" ht="15">
      <c r="B168" s="258" t="s">
        <v>110</v>
      </c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60"/>
    </row>
    <row r="169" spans="2:14" ht="15">
      <c r="B169" s="78" t="s">
        <v>76</v>
      </c>
      <c r="C169" s="252" t="s">
        <v>42</v>
      </c>
      <c r="D169" s="253"/>
      <c r="E169" s="253"/>
      <c r="F169" s="253"/>
      <c r="G169" s="253"/>
      <c r="H169" s="253"/>
      <c r="I169" s="253"/>
      <c r="J169" s="254"/>
      <c r="K169" s="78" t="s">
        <v>77</v>
      </c>
      <c r="L169" s="78" t="s">
        <v>43</v>
      </c>
      <c r="M169" s="78" t="s">
        <v>78</v>
      </c>
      <c r="N169" s="78" t="s">
        <v>79</v>
      </c>
    </row>
    <row r="170" spans="2:14" ht="15">
      <c r="B170" s="172" t="str">
        <f>B163</f>
        <v>SINAPI-88316</v>
      </c>
      <c r="C170" s="245" t="s">
        <v>109</v>
      </c>
      <c r="D170" s="246"/>
      <c r="E170" s="246"/>
      <c r="F170" s="246"/>
      <c r="G170" s="246"/>
      <c r="H170" s="246"/>
      <c r="I170" s="246"/>
      <c r="J170" s="247"/>
      <c r="K170" s="100" t="s">
        <v>33</v>
      </c>
      <c r="L170" s="99">
        <v>1.5</v>
      </c>
      <c r="M170" s="99">
        <v>13.44</v>
      </c>
      <c r="N170" s="113">
        <f>ROUND(M170*L170,2)</f>
        <v>20.16</v>
      </c>
    </row>
    <row r="171" spans="2:14" ht="15">
      <c r="B171" s="114"/>
      <c r="C171" s="248"/>
      <c r="D171" s="248"/>
      <c r="E171" s="248"/>
      <c r="F171" s="248"/>
      <c r="G171" s="248"/>
      <c r="H171" s="150"/>
      <c r="I171" s="150"/>
      <c r="J171" s="150"/>
      <c r="K171" s="115"/>
      <c r="L171" s="116"/>
      <c r="M171" s="117" t="s">
        <v>79</v>
      </c>
      <c r="N171" s="123">
        <f>SUM(N170:N170)</f>
        <v>20.16</v>
      </c>
    </row>
    <row r="173" spans="2:16" ht="15">
      <c r="B173" s="258" t="s">
        <v>114</v>
      </c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N173" s="260"/>
      <c r="P173" s="83"/>
    </row>
    <row r="174" spans="2:14" ht="15">
      <c r="B174" s="78" t="s">
        <v>76</v>
      </c>
      <c r="C174" s="252" t="s">
        <v>42</v>
      </c>
      <c r="D174" s="253"/>
      <c r="E174" s="253"/>
      <c r="F174" s="253"/>
      <c r="G174" s="253"/>
      <c r="H174" s="253"/>
      <c r="I174" s="253"/>
      <c r="J174" s="254"/>
      <c r="K174" s="78" t="s">
        <v>77</v>
      </c>
      <c r="L174" s="78" t="s">
        <v>43</v>
      </c>
      <c r="M174" s="78" t="s">
        <v>78</v>
      </c>
      <c r="N174" s="78" t="s">
        <v>79</v>
      </c>
    </row>
    <row r="175" spans="2:16" s="83" customFormat="1" ht="21" customHeight="1">
      <c r="B175" s="172" t="str">
        <f>B163</f>
        <v>SINAPI-88316</v>
      </c>
      <c r="C175" s="245" t="s">
        <v>109</v>
      </c>
      <c r="D175" s="246"/>
      <c r="E175" s="246"/>
      <c r="F175" s="246"/>
      <c r="G175" s="246"/>
      <c r="H175" s="246"/>
      <c r="I175" s="246"/>
      <c r="J175" s="247"/>
      <c r="K175" s="100" t="s">
        <v>33</v>
      </c>
      <c r="L175" s="99">
        <v>3.5</v>
      </c>
      <c r="M175" s="125">
        <f>M170</f>
        <v>13.44</v>
      </c>
      <c r="N175" s="113">
        <f>ROUND(M175*L175,2)</f>
        <v>47.04</v>
      </c>
      <c r="P175"/>
    </row>
    <row r="176" spans="2:14" ht="21" customHeight="1">
      <c r="B176" s="172" t="str">
        <f>B184</f>
        <v>SINAPI-88309</v>
      </c>
      <c r="C176" s="245" t="s">
        <v>111</v>
      </c>
      <c r="D176" s="246"/>
      <c r="E176" s="246"/>
      <c r="F176" s="246"/>
      <c r="G176" s="246"/>
      <c r="H176" s="246"/>
      <c r="I176" s="246"/>
      <c r="J176" s="247"/>
      <c r="K176" s="100" t="s">
        <v>33</v>
      </c>
      <c r="L176" s="99">
        <v>0.35</v>
      </c>
      <c r="M176" s="99">
        <v>18.98</v>
      </c>
      <c r="N176" s="113">
        <f>ROUND(M176*L176,2)</f>
        <v>6.64</v>
      </c>
    </row>
    <row r="177" spans="2:14" ht="15">
      <c r="B177" s="114"/>
      <c r="C177" s="248"/>
      <c r="D177" s="248"/>
      <c r="E177" s="248"/>
      <c r="F177" s="248"/>
      <c r="G177" s="248"/>
      <c r="H177" s="150"/>
      <c r="I177" s="150"/>
      <c r="J177" s="150"/>
      <c r="K177" s="115"/>
      <c r="L177" s="116"/>
      <c r="M177" s="117" t="s">
        <v>79</v>
      </c>
      <c r="N177" s="123">
        <f>SUM(N175:N176)</f>
        <v>53.68</v>
      </c>
    </row>
    <row r="178" spans="2:16" s="83" customFormat="1" ht="15">
      <c r="B178" s="114"/>
      <c r="C178" s="150"/>
      <c r="D178" s="150"/>
      <c r="E178" s="150"/>
      <c r="F178" s="150"/>
      <c r="G178" s="150"/>
      <c r="H178" s="150"/>
      <c r="I178" s="150"/>
      <c r="J178" s="150"/>
      <c r="K178" s="115"/>
      <c r="L178" s="119"/>
      <c r="M178" s="120"/>
      <c r="N178" s="122"/>
      <c r="P178"/>
    </row>
    <row r="180" spans="2:16" ht="15">
      <c r="B180" s="258" t="s">
        <v>157</v>
      </c>
      <c r="C180" s="259"/>
      <c r="D180" s="259"/>
      <c r="E180" s="259"/>
      <c r="F180" s="259"/>
      <c r="G180" s="259"/>
      <c r="H180" s="259"/>
      <c r="I180" s="259"/>
      <c r="J180" s="259"/>
      <c r="K180" s="259"/>
      <c r="L180" s="259"/>
      <c r="M180" s="259"/>
      <c r="N180" s="260"/>
      <c r="P180" s="83"/>
    </row>
    <row r="181" spans="2:14" ht="15">
      <c r="B181" s="78" t="s">
        <v>76</v>
      </c>
      <c r="C181" s="252" t="s">
        <v>42</v>
      </c>
      <c r="D181" s="253"/>
      <c r="E181" s="253"/>
      <c r="F181" s="253"/>
      <c r="G181" s="253"/>
      <c r="H181" s="253"/>
      <c r="I181" s="253"/>
      <c r="J181" s="254"/>
      <c r="K181" s="78" t="s">
        <v>77</v>
      </c>
      <c r="L181" s="78" t="s">
        <v>43</v>
      </c>
      <c r="M181" s="78" t="s">
        <v>78</v>
      </c>
      <c r="N181" s="78" t="s">
        <v>79</v>
      </c>
    </row>
    <row r="182" spans="2:27" ht="30">
      <c r="B182" s="172" t="s">
        <v>175</v>
      </c>
      <c r="C182" s="245" t="s">
        <v>156</v>
      </c>
      <c r="D182" s="246"/>
      <c r="E182" s="246"/>
      <c r="F182" s="246"/>
      <c r="G182" s="246"/>
      <c r="H182" s="246"/>
      <c r="I182" s="246"/>
      <c r="J182" s="247"/>
      <c r="K182" s="100" t="s">
        <v>33</v>
      </c>
      <c r="L182" s="99">
        <f>1/83</f>
        <v>0.012048192771084338</v>
      </c>
      <c r="M182" s="124">
        <v>7.54</v>
      </c>
      <c r="N182" s="113">
        <f>ROUND(M182*L182,2)</f>
        <v>0.09</v>
      </c>
      <c r="V182" s="83"/>
      <c r="W182" s="83"/>
      <c r="X182" s="83"/>
      <c r="Y182" s="83"/>
      <c r="Z182" s="83"/>
      <c r="AA182" s="83"/>
    </row>
    <row r="183" spans="2:27" ht="29.25" customHeight="1">
      <c r="B183" s="172" t="str">
        <f>B175</f>
        <v>SINAPI-88316</v>
      </c>
      <c r="C183" s="245" t="s">
        <v>109</v>
      </c>
      <c r="D183" s="246"/>
      <c r="E183" s="246"/>
      <c r="F183" s="246"/>
      <c r="G183" s="246"/>
      <c r="H183" s="246"/>
      <c r="I183" s="246"/>
      <c r="J183" s="247"/>
      <c r="K183" s="100" t="s">
        <v>33</v>
      </c>
      <c r="L183" s="99">
        <f>13/83</f>
        <v>0.1566265060240964</v>
      </c>
      <c r="M183" s="99">
        <f>M175</f>
        <v>13.44</v>
      </c>
      <c r="N183" s="113">
        <f>ROUND(M183*L183,2)</f>
        <v>2.11</v>
      </c>
      <c r="V183" s="83"/>
      <c r="W183" s="83"/>
      <c r="X183" s="83"/>
      <c r="Y183" s="83"/>
      <c r="Z183" s="83"/>
      <c r="AA183" s="83"/>
    </row>
    <row r="184" spans="2:16" s="83" customFormat="1" ht="15">
      <c r="B184" s="172" t="s">
        <v>255</v>
      </c>
      <c r="C184" s="245" t="s">
        <v>111</v>
      </c>
      <c r="D184" s="246"/>
      <c r="E184" s="246"/>
      <c r="F184" s="246"/>
      <c r="G184" s="246"/>
      <c r="H184" s="246"/>
      <c r="I184" s="246"/>
      <c r="J184" s="247"/>
      <c r="K184" s="100" t="s">
        <v>33</v>
      </c>
      <c r="L184" s="99">
        <v>0.07228915662650602</v>
      </c>
      <c r="M184" s="99">
        <f>M176</f>
        <v>18.98</v>
      </c>
      <c r="N184" s="113">
        <f>ROUND(M184*L184,2)</f>
        <v>1.37</v>
      </c>
      <c r="P184"/>
    </row>
    <row r="185" spans="2:14" ht="15">
      <c r="B185" s="114"/>
      <c r="C185" s="248"/>
      <c r="D185" s="248"/>
      <c r="E185" s="248"/>
      <c r="F185" s="248"/>
      <c r="G185" s="248"/>
      <c r="H185" s="150"/>
      <c r="I185" s="150"/>
      <c r="J185" s="150"/>
      <c r="K185" s="115"/>
      <c r="L185" s="116"/>
      <c r="M185" s="117" t="s">
        <v>79</v>
      </c>
      <c r="N185" s="123">
        <f>SUM(N182:N184)</f>
        <v>3.57</v>
      </c>
    </row>
    <row r="188" spans="2:14" ht="30.75" customHeight="1">
      <c r="B188" s="255" t="s">
        <v>162</v>
      </c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7"/>
    </row>
    <row r="189" spans="2:14" ht="15">
      <c r="B189" s="78" t="s">
        <v>76</v>
      </c>
      <c r="C189" s="252" t="s">
        <v>42</v>
      </c>
      <c r="D189" s="253"/>
      <c r="E189" s="253"/>
      <c r="F189" s="253"/>
      <c r="G189" s="253"/>
      <c r="H189" s="253"/>
      <c r="I189" s="253"/>
      <c r="J189" s="254"/>
      <c r="K189" s="78" t="s">
        <v>77</v>
      </c>
      <c r="L189" s="78" t="s">
        <v>43</v>
      </c>
      <c r="M189" s="78" t="s">
        <v>78</v>
      </c>
      <c r="N189" s="78" t="s">
        <v>79</v>
      </c>
    </row>
    <row r="190" spans="2:14" ht="15">
      <c r="B190" s="172" t="s">
        <v>256</v>
      </c>
      <c r="C190" s="245" t="s">
        <v>161</v>
      </c>
      <c r="D190" s="246"/>
      <c r="E190" s="246"/>
      <c r="F190" s="246"/>
      <c r="G190" s="246"/>
      <c r="H190" s="246"/>
      <c r="I190" s="246"/>
      <c r="J190" s="247"/>
      <c r="K190" s="100" t="s">
        <v>19</v>
      </c>
      <c r="L190" s="99">
        <v>1</v>
      </c>
      <c r="M190" s="125">
        <v>2.38</v>
      </c>
      <c r="N190" s="113">
        <f>ROUND(M190*L190,2)</f>
        <v>2.38</v>
      </c>
    </row>
    <row r="191" spans="2:16" s="83" customFormat="1" ht="15">
      <c r="B191" s="172" t="s">
        <v>257</v>
      </c>
      <c r="C191" s="245" t="s">
        <v>160</v>
      </c>
      <c r="D191" s="246"/>
      <c r="E191" s="246"/>
      <c r="F191" s="246"/>
      <c r="G191" s="246"/>
      <c r="H191" s="246"/>
      <c r="I191" s="246"/>
      <c r="J191" s="247"/>
      <c r="K191" s="100" t="s">
        <v>159</v>
      </c>
      <c r="L191" s="99">
        <v>1</v>
      </c>
      <c r="M191" s="125">
        <f>(0.42+0.47)/2</f>
        <v>0.44499999999999995</v>
      </c>
      <c r="N191" s="113">
        <f>ROUND(M191*L191,2)</f>
        <v>0.45</v>
      </c>
      <c r="P191"/>
    </row>
    <row r="192" spans="2:14" ht="18" customHeight="1">
      <c r="B192" s="172" t="str">
        <f>B183</f>
        <v>SINAPI-88316</v>
      </c>
      <c r="C192" s="245" t="s">
        <v>109</v>
      </c>
      <c r="D192" s="246"/>
      <c r="E192" s="246"/>
      <c r="F192" s="246"/>
      <c r="G192" s="246"/>
      <c r="H192" s="246"/>
      <c r="I192" s="246"/>
      <c r="J192" s="247"/>
      <c r="K192" s="100" t="s">
        <v>33</v>
      </c>
      <c r="L192" s="99">
        <v>0.1</v>
      </c>
      <c r="M192" s="99">
        <f>M183</f>
        <v>13.44</v>
      </c>
      <c r="N192" s="113">
        <f>ROUND(M192*L192,2)</f>
        <v>1.34</v>
      </c>
    </row>
    <row r="193" spans="2:14" ht="16.5" customHeight="1">
      <c r="B193" s="172" t="str">
        <f>B184</f>
        <v>SINAPI-88309</v>
      </c>
      <c r="C193" s="245" t="s">
        <v>111</v>
      </c>
      <c r="D193" s="246"/>
      <c r="E193" s="246"/>
      <c r="F193" s="246"/>
      <c r="G193" s="246"/>
      <c r="H193" s="246"/>
      <c r="I193" s="246"/>
      <c r="J193" s="247"/>
      <c r="K193" s="100" t="s">
        <v>33</v>
      </c>
      <c r="L193" s="99">
        <v>0.1</v>
      </c>
      <c r="M193" s="99">
        <f>M176</f>
        <v>18.98</v>
      </c>
      <c r="N193" s="113">
        <f>ROUND(M193*L193,2)</f>
        <v>1.9</v>
      </c>
    </row>
    <row r="194" spans="2:14" ht="15">
      <c r="B194" s="114"/>
      <c r="C194" s="248"/>
      <c r="D194" s="248"/>
      <c r="E194" s="248"/>
      <c r="F194" s="248"/>
      <c r="G194" s="248"/>
      <c r="H194" s="150"/>
      <c r="I194" s="150"/>
      <c r="J194" s="150"/>
      <c r="K194" s="115"/>
      <c r="L194" s="116"/>
      <c r="M194" s="117" t="s">
        <v>79</v>
      </c>
      <c r="N194" s="123">
        <f>SUM(N190:N193)</f>
        <v>6.07</v>
      </c>
    </row>
    <row r="197" spans="2:14" ht="31.5" customHeight="1">
      <c r="B197" s="249" t="s">
        <v>206</v>
      </c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1"/>
    </row>
    <row r="198" spans="2:14" ht="15">
      <c r="B198" s="78" t="s">
        <v>76</v>
      </c>
      <c r="C198" s="252" t="s">
        <v>42</v>
      </c>
      <c r="D198" s="253"/>
      <c r="E198" s="253"/>
      <c r="F198" s="253"/>
      <c r="G198" s="253"/>
      <c r="H198" s="253"/>
      <c r="I198" s="253"/>
      <c r="J198" s="254"/>
      <c r="K198" s="78" t="s">
        <v>77</v>
      </c>
      <c r="L198" s="78" t="s">
        <v>43</v>
      </c>
      <c r="M198" s="78" t="s">
        <v>78</v>
      </c>
      <c r="N198" s="78" t="s">
        <v>79</v>
      </c>
    </row>
    <row r="199" spans="2:14" ht="27" customHeight="1">
      <c r="B199" s="172" t="str">
        <f>B192</f>
        <v>SINAPI-88316</v>
      </c>
      <c r="C199" s="245" t="s">
        <v>109</v>
      </c>
      <c r="D199" s="246"/>
      <c r="E199" s="246"/>
      <c r="F199" s="246"/>
      <c r="G199" s="246"/>
      <c r="H199" s="246"/>
      <c r="I199" s="246"/>
      <c r="J199" s="247"/>
      <c r="K199" s="100" t="s">
        <v>33</v>
      </c>
      <c r="L199" s="99">
        <v>0.5</v>
      </c>
      <c r="M199" s="99">
        <f>M192</f>
        <v>13.44</v>
      </c>
      <c r="N199" s="113">
        <f>ROUND(M199*L199,2)</f>
        <v>6.72</v>
      </c>
    </row>
    <row r="200" spans="2:14" ht="30" customHeight="1">
      <c r="B200" s="172" t="str">
        <f>B184</f>
        <v>SINAPI-88309</v>
      </c>
      <c r="C200" s="245" t="s">
        <v>111</v>
      </c>
      <c r="D200" s="246"/>
      <c r="E200" s="246"/>
      <c r="F200" s="246"/>
      <c r="G200" s="246"/>
      <c r="H200" s="246"/>
      <c r="I200" s="246"/>
      <c r="J200" s="247"/>
      <c r="K200" s="100" t="s">
        <v>33</v>
      </c>
      <c r="L200" s="99">
        <v>0.5</v>
      </c>
      <c r="M200" s="99">
        <f>M176</f>
        <v>18.98</v>
      </c>
      <c r="N200" s="113">
        <f>ROUND(M200*L200,2)</f>
        <v>9.49</v>
      </c>
    </row>
    <row r="201" spans="2:14" ht="15">
      <c r="B201" s="114"/>
      <c r="C201" s="248"/>
      <c r="D201" s="248"/>
      <c r="E201" s="248"/>
      <c r="F201" s="248"/>
      <c r="G201" s="248"/>
      <c r="H201" s="150"/>
      <c r="I201" s="150"/>
      <c r="J201" s="150"/>
      <c r="K201" s="115"/>
      <c r="L201" s="116"/>
      <c r="M201" s="117" t="s">
        <v>79</v>
      </c>
      <c r="N201" s="123">
        <f>SUM(N199:N200)</f>
        <v>16.21</v>
      </c>
    </row>
    <row r="204" spans="2:14" ht="29.25" customHeight="1">
      <c r="B204" s="249" t="s">
        <v>199</v>
      </c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1"/>
    </row>
    <row r="205" spans="2:14" ht="15">
      <c r="B205" s="78" t="s">
        <v>76</v>
      </c>
      <c r="C205" s="252" t="s">
        <v>42</v>
      </c>
      <c r="D205" s="253"/>
      <c r="E205" s="253"/>
      <c r="F205" s="253"/>
      <c r="G205" s="253"/>
      <c r="H205" s="253"/>
      <c r="I205" s="253"/>
      <c r="J205" s="254"/>
      <c r="K205" s="78" t="s">
        <v>77</v>
      </c>
      <c r="L205" s="78" t="s">
        <v>43</v>
      </c>
      <c r="M205" s="78" t="s">
        <v>78</v>
      </c>
      <c r="N205" s="78" t="s">
        <v>79</v>
      </c>
    </row>
    <row r="206" spans="2:14" ht="15">
      <c r="B206" s="172" t="s">
        <v>258</v>
      </c>
      <c r="C206" s="245" t="s">
        <v>200</v>
      </c>
      <c r="D206" s="246"/>
      <c r="E206" s="246"/>
      <c r="F206" s="246"/>
      <c r="G206" s="246"/>
      <c r="H206" s="246"/>
      <c r="I206" s="246"/>
      <c r="J206" s="247"/>
      <c r="K206" s="100" t="s">
        <v>36</v>
      </c>
      <c r="L206" s="99">
        <v>10.4</v>
      </c>
      <c r="M206" s="125">
        <v>7.67</v>
      </c>
      <c r="N206" s="113">
        <f>ROUND(M206*L206,2)</f>
        <v>79.77</v>
      </c>
    </row>
    <row r="207" spans="2:14" ht="15">
      <c r="B207" s="172" t="s">
        <v>259</v>
      </c>
      <c r="C207" s="245" t="s">
        <v>201</v>
      </c>
      <c r="D207" s="246"/>
      <c r="E207" s="246"/>
      <c r="F207" s="246"/>
      <c r="G207" s="246"/>
      <c r="H207" s="246"/>
      <c r="I207" s="246"/>
      <c r="J207" s="247"/>
      <c r="K207" s="100" t="s">
        <v>6</v>
      </c>
      <c r="L207" s="99">
        <v>0.025</v>
      </c>
      <c r="M207" s="124">
        <v>257.31</v>
      </c>
      <c r="N207" s="113">
        <f>ROUND(M207*L207,2)</f>
        <v>6.43</v>
      </c>
    </row>
    <row r="208" spans="2:14" ht="15">
      <c r="B208" s="172" t="s">
        <v>255</v>
      </c>
      <c r="C208" s="245" t="s">
        <v>109</v>
      </c>
      <c r="D208" s="246"/>
      <c r="E208" s="246"/>
      <c r="F208" s="246"/>
      <c r="G208" s="246"/>
      <c r="H208" s="246"/>
      <c r="I208" s="246"/>
      <c r="J208" s="247"/>
      <c r="K208" s="100" t="s">
        <v>33</v>
      </c>
      <c r="L208" s="99">
        <v>14.5</v>
      </c>
      <c r="M208" s="99">
        <f>M199</f>
        <v>13.44</v>
      </c>
      <c r="N208" s="113">
        <f>ROUND(M208*L208,2)</f>
        <v>194.88</v>
      </c>
    </row>
    <row r="209" spans="2:14" s="83" customFormat="1" ht="15">
      <c r="B209" s="172" t="s">
        <v>233</v>
      </c>
      <c r="C209" s="245" t="s">
        <v>111</v>
      </c>
      <c r="D209" s="246"/>
      <c r="E209" s="246"/>
      <c r="F209" s="246"/>
      <c r="G209" s="246"/>
      <c r="H209" s="246"/>
      <c r="I209" s="246"/>
      <c r="J209" s="247"/>
      <c r="K209" s="100" t="s">
        <v>33</v>
      </c>
      <c r="L209" s="99">
        <v>17</v>
      </c>
      <c r="M209" s="99">
        <v>18.98</v>
      </c>
      <c r="N209" s="113">
        <f>ROUND(M209*L209,2)</f>
        <v>322.66</v>
      </c>
    </row>
    <row r="210" spans="2:14" ht="15">
      <c r="B210" s="172" t="s">
        <v>238</v>
      </c>
      <c r="C210" s="245" t="s">
        <v>202</v>
      </c>
      <c r="D210" s="246"/>
      <c r="E210" s="246"/>
      <c r="F210" s="246"/>
      <c r="G210" s="246"/>
      <c r="H210" s="246"/>
      <c r="I210" s="246"/>
      <c r="J210" s="247"/>
      <c r="K210" s="100" t="s">
        <v>6</v>
      </c>
      <c r="L210" s="99">
        <v>0.15</v>
      </c>
      <c r="M210" s="99">
        <v>212.81</v>
      </c>
      <c r="N210" s="113">
        <f>ROUND(M210*L210,2)</f>
        <v>31.92</v>
      </c>
    </row>
    <row r="211" spans="2:14" ht="15">
      <c r="B211" s="114"/>
      <c r="C211" s="248"/>
      <c r="D211" s="248"/>
      <c r="E211" s="248"/>
      <c r="F211" s="248"/>
      <c r="G211" s="248"/>
      <c r="H211" s="178"/>
      <c r="I211" s="178"/>
      <c r="J211" s="178"/>
      <c r="K211" s="115"/>
      <c r="L211" s="116"/>
      <c r="M211" s="117" t="s">
        <v>79</v>
      </c>
      <c r="N211" s="123">
        <f>SUM(N206:N210)</f>
        <v>635.66</v>
      </c>
    </row>
    <row r="214" spans="2:14" ht="48.75" customHeight="1">
      <c r="B214" s="249" t="s">
        <v>211</v>
      </c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1"/>
    </row>
    <row r="215" spans="2:14" ht="15">
      <c r="B215" s="78" t="s">
        <v>76</v>
      </c>
      <c r="C215" s="252" t="s">
        <v>42</v>
      </c>
      <c r="D215" s="253"/>
      <c r="E215" s="253"/>
      <c r="F215" s="253"/>
      <c r="G215" s="253"/>
      <c r="H215" s="253"/>
      <c r="I215" s="253"/>
      <c r="J215" s="254"/>
      <c r="K215" s="78" t="s">
        <v>77</v>
      </c>
      <c r="L215" s="78" t="s">
        <v>43</v>
      </c>
      <c r="M215" s="78" t="s">
        <v>78</v>
      </c>
      <c r="N215" s="78" t="s">
        <v>79</v>
      </c>
    </row>
    <row r="216" spans="2:14" ht="28.5" customHeight="1">
      <c r="B216" s="172" t="s">
        <v>237</v>
      </c>
      <c r="C216" s="245" t="s">
        <v>265</v>
      </c>
      <c r="D216" s="246"/>
      <c r="E216" s="246"/>
      <c r="F216" s="246"/>
      <c r="G216" s="246"/>
      <c r="H216" s="246"/>
      <c r="I216" s="246"/>
      <c r="J216" s="247"/>
      <c r="K216" s="100" t="s">
        <v>209</v>
      </c>
      <c r="L216" s="180">
        <v>0.033</v>
      </c>
      <c r="M216" s="124">
        <v>121.74</v>
      </c>
      <c r="N216" s="113">
        <v>4.01</v>
      </c>
    </row>
    <row r="217" spans="2:14" ht="29.25" customHeight="1">
      <c r="B217" s="172" t="s">
        <v>236</v>
      </c>
      <c r="C217" s="245" t="s">
        <v>266</v>
      </c>
      <c r="D217" s="246"/>
      <c r="E217" s="246"/>
      <c r="F217" s="246"/>
      <c r="G217" s="246"/>
      <c r="H217" s="246"/>
      <c r="I217" s="246"/>
      <c r="J217" s="247"/>
      <c r="K217" s="100" t="s">
        <v>208</v>
      </c>
      <c r="L217" s="180">
        <v>0.044</v>
      </c>
      <c r="M217" s="99">
        <v>44.29</v>
      </c>
      <c r="N217" s="113">
        <v>1.94</v>
      </c>
    </row>
    <row r="218" spans="2:14" ht="48" customHeight="1">
      <c r="B218" s="172" t="s">
        <v>235</v>
      </c>
      <c r="C218" s="245" t="s">
        <v>264</v>
      </c>
      <c r="D218" s="246"/>
      <c r="E218" s="246"/>
      <c r="F218" s="246"/>
      <c r="G218" s="246"/>
      <c r="H218" s="246"/>
      <c r="I218" s="246"/>
      <c r="J218" s="247"/>
      <c r="K218" s="100" t="s">
        <v>209</v>
      </c>
      <c r="L218" s="180">
        <v>0.006</v>
      </c>
      <c r="M218" s="99">
        <v>155.57</v>
      </c>
      <c r="N218" s="113">
        <f>ROUND(M218*L218,2)</f>
        <v>0.93</v>
      </c>
    </row>
    <row r="219" spans="2:14" s="83" customFormat="1" ht="48.75" customHeight="1">
      <c r="B219" s="172" t="s">
        <v>234</v>
      </c>
      <c r="C219" s="245" t="s">
        <v>267</v>
      </c>
      <c r="D219" s="246"/>
      <c r="E219" s="246"/>
      <c r="F219" s="246"/>
      <c r="G219" s="246"/>
      <c r="H219" s="246"/>
      <c r="I219" s="246"/>
      <c r="J219" s="247"/>
      <c r="K219" s="100" t="s">
        <v>208</v>
      </c>
      <c r="L219" s="180">
        <v>0.003</v>
      </c>
      <c r="M219" s="99">
        <v>30.42</v>
      </c>
      <c r="N219" s="113">
        <f>ROUND(M219*L219,2)</f>
        <v>0.09</v>
      </c>
    </row>
    <row r="220" spans="2:14" s="83" customFormat="1" ht="15">
      <c r="B220" s="172" t="s">
        <v>233</v>
      </c>
      <c r="C220" s="245" t="s">
        <v>207</v>
      </c>
      <c r="D220" s="246"/>
      <c r="E220" s="246"/>
      <c r="F220" s="246"/>
      <c r="G220" s="246"/>
      <c r="H220" s="246"/>
      <c r="I220" s="246"/>
      <c r="J220" s="247"/>
      <c r="K220" s="100" t="s">
        <v>210</v>
      </c>
      <c r="L220" s="180">
        <v>0.042</v>
      </c>
      <c r="M220" s="99">
        <v>13.44</v>
      </c>
      <c r="N220" s="113">
        <v>0.56</v>
      </c>
    </row>
    <row r="221" spans="2:14" s="83" customFormat="1" ht="27.75" customHeight="1">
      <c r="B221" s="172" t="s">
        <v>232</v>
      </c>
      <c r="C221" s="245" t="s">
        <v>268</v>
      </c>
      <c r="D221" s="246"/>
      <c r="E221" s="246"/>
      <c r="F221" s="246"/>
      <c r="G221" s="246"/>
      <c r="H221" s="246"/>
      <c r="I221" s="246"/>
      <c r="J221" s="247"/>
      <c r="K221" s="100" t="s">
        <v>209</v>
      </c>
      <c r="L221" s="180">
        <v>0.061</v>
      </c>
      <c r="M221" s="99">
        <v>20.33</v>
      </c>
      <c r="N221" s="113">
        <f>ROUND(M221*L221,2)</f>
        <v>1.24</v>
      </c>
    </row>
    <row r="222" spans="2:14" ht="27.75" customHeight="1">
      <c r="B222" s="172" t="s">
        <v>231</v>
      </c>
      <c r="C222" s="245" t="s">
        <v>269</v>
      </c>
      <c r="D222" s="246"/>
      <c r="E222" s="246"/>
      <c r="F222" s="246"/>
      <c r="G222" s="246"/>
      <c r="H222" s="246"/>
      <c r="I222" s="246"/>
      <c r="J222" s="247"/>
      <c r="K222" s="100" t="s">
        <v>208</v>
      </c>
      <c r="L222" s="180">
        <v>0.057</v>
      </c>
      <c r="M222" s="99">
        <v>16.79</v>
      </c>
      <c r="N222" s="113">
        <v>0.95</v>
      </c>
    </row>
    <row r="223" spans="2:14" ht="15">
      <c r="B223" s="114"/>
      <c r="C223" s="248"/>
      <c r="D223" s="248"/>
      <c r="E223" s="248"/>
      <c r="F223" s="248"/>
      <c r="G223" s="248"/>
      <c r="H223" s="179"/>
      <c r="I223" s="179"/>
      <c r="J223" s="179"/>
      <c r="K223" s="115"/>
      <c r="L223" s="116"/>
      <c r="M223" s="117" t="s">
        <v>79</v>
      </c>
      <c r="N223" s="123">
        <f>SUM(N216:N222)</f>
        <v>9.719999999999999</v>
      </c>
    </row>
  </sheetData>
  <sheetProtection/>
  <mergeCells count="189">
    <mergeCell ref="B164:L164"/>
    <mergeCell ref="C109:G109"/>
    <mergeCell ref="C103:J103"/>
    <mergeCell ref="C104:J104"/>
    <mergeCell ref="C105:J105"/>
    <mergeCell ref="C106:J106"/>
    <mergeCell ref="C107:J107"/>
    <mergeCell ref="C108:J108"/>
    <mergeCell ref="C162:J162"/>
    <mergeCell ref="C161:J161"/>
    <mergeCell ref="B97:N97"/>
    <mergeCell ref="C98:J98"/>
    <mergeCell ref="C99:J99"/>
    <mergeCell ref="C100:J100"/>
    <mergeCell ref="C101:J101"/>
    <mergeCell ref="C102:J102"/>
    <mergeCell ref="B2:N2"/>
    <mergeCell ref="C3:J3"/>
    <mergeCell ref="C4:J4"/>
    <mergeCell ref="C5:J5"/>
    <mergeCell ref="C6:J6"/>
    <mergeCell ref="C7:G7"/>
    <mergeCell ref="B83:N83"/>
    <mergeCell ref="C114:J114"/>
    <mergeCell ref="C174:J174"/>
    <mergeCell ref="C176:J176"/>
    <mergeCell ref="C177:G177"/>
    <mergeCell ref="C175:J175"/>
    <mergeCell ref="B168:N168"/>
    <mergeCell ref="C169:J169"/>
    <mergeCell ref="C170:J170"/>
    <mergeCell ref="C171:G171"/>
    <mergeCell ref="C115:J115"/>
    <mergeCell ref="C118:J118"/>
    <mergeCell ref="C119:J119"/>
    <mergeCell ref="B173:N173"/>
    <mergeCell ref="C146:J146"/>
    <mergeCell ref="C145:J145"/>
    <mergeCell ref="C160:J160"/>
    <mergeCell ref="C163:J163"/>
    <mergeCell ref="B158:N158"/>
    <mergeCell ref="C159:J159"/>
    <mergeCell ref="C75:J75"/>
    <mergeCell ref="C76:J76"/>
    <mergeCell ref="C77:J77"/>
    <mergeCell ref="C78:J78"/>
    <mergeCell ref="C79:J79"/>
    <mergeCell ref="C80:G80"/>
    <mergeCell ref="C46:J46"/>
    <mergeCell ref="C44:J44"/>
    <mergeCell ref="C47:J47"/>
    <mergeCell ref="C49:J49"/>
    <mergeCell ref="C43:J43"/>
    <mergeCell ref="C48:J48"/>
    <mergeCell ref="C11:J11"/>
    <mergeCell ref="C12:J12"/>
    <mergeCell ref="C13:J13"/>
    <mergeCell ref="C18:J18"/>
    <mergeCell ref="C153:J153"/>
    <mergeCell ref="C147:J147"/>
    <mergeCell ref="C17:J17"/>
    <mergeCell ref="B143:N143"/>
    <mergeCell ref="C149:J149"/>
    <mergeCell ref="C45:J45"/>
    <mergeCell ref="C155:G155"/>
    <mergeCell ref="C150:J150"/>
    <mergeCell ref="C144:J144"/>
    <mergeCell ref="C151:J151"/>
    <mergeCell ref="C152:J152"/>
    <mergeCell ref="B111:N111"/>
    <mergeCell ref="C112:J112"/>
    <mergeCell ref="C120:J120"/>
    <mergeCell ref="C121:J121"/>
    <mergeCell ref="C123:J123"/>
    <mergeCell ref="C89:J89"/>
    <mergeCell ref="C90:J90"/>
    <mergeCell ref="B9:N9"/>
    <mergeCell ref="C10:J10"/>
    <mergeCell ref="C20:J20"/>
    <mergeCell ref="C15:J15"/>
    <mergeCell ref="C21:G21"/>
    <mergeCell ref="C19:J19"/>
    <mergeCell ref="C16:J16"/>
    <mergeCell ref="C14:J14"/>
    <mergeCell ref="C74:J74"/>
    <mergeCell ref="C91:J91"/>
    <mergeCell ref="C92:J92"/>
    <mergeCell ref="C154:J154"/>
    <mergeCell ref="C85:J85"/>
    <mergeCell ref="C86:J86"/>
    <mergeCell ref="C87:J87"/>
    <mergeCell ref="C88:J88"/>
    <mergeCell ref="C137:J137"/>
    <mergeCell ref="C129:J129"/>
    <mergeCell ref="B38:N38"/>
    <mergeCell ref="C39:J39"/>
    <mergeCell ref="C40:J40"/>
    <mergeCell ref="C41:J41"/>
    <mergeCell ref="C93:J93"/>
    <mergeCell ref="C94:J94"/>
    <mergeCell ref="B68:N68"/>
    <mergeCell ref="C50:G50"/>
    <mergeCell ref="C84:J84"/>
    <mergeCell ref="C42:J42"/>
    <mergeCell ref="C73:J73"/>
    <mergeCell ref="C117:J117"/>
    <mergeCell ref="C148:J148"/>
    <mergeCell ref="C69:J69"/>
    <mergeCell ref="C70:J70"/>
    <mergeCell ref="C71:J71"/>
    <mergeCell ref="C72:J72"/>
    <mergeCell ref="C95:G95"/>
    <mergeCell ref="C130:J130"/>
    <mergeCell ref="C122:J122"/>
    <mergeCell ref="C35:G35"/>
    <mergeCell ref="C124:J124"/>
    <mergeCell ref="C125:G125"/>
    <mergeCell ref="C131:J131"/>
    <mergeCell ref="C138:G138"/>
    <mergeCell ref="C132:J132"/>
    <mergeCell ref="C133:J133"/>
    <mergeCell ref="C134:J134"/>
    <mergeCell ref="C135:J135"/>
    <mergeCell ref="C136:J136"/>
    <mergeCell ref="B23:N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185:G185"/>
    <mergeCell ref="C184:J184"/>
    <mergeCell ref="C113:J113"/>
    <mergeCell ref="C116:J116"/>
    <mergeCell ref="B180:N180"/>
    <mergeCell ref="C181:J181"/>
    <mergeCell ref="C182:J182"/>
    <mergeCell ref="C183:J183"/>
    <mergeCell ref="B127:N127"/>
    <mergeCell ref="C128:J128"/>
    <mergeCell ref="B188:N188"/>
    <mergeCell ref="C189:J189"/>
    <mergeCell ref="C190:J190"/>
    <mergeCell ref="C192:J192"/>
    <mergeCell ref="C193:J193"/>
    <mergeCell ref="C194:G194"/>
    <mergeCell ref="C191:J191"/>
    <mergeCell ref="C201:G201"/>
    <mergeCell ref="B197:N197"/>
    <mergeCell ref="C198:J198"/>
    <mergeCell ref="C199:J199"/>
    <mergeCell ref="C200:J200"/>
    <mergeCell ref="B53:N53"/>
    <mergeCell ref="C54:J54"/>
    <mergeCell ref="C55:J55"/>
    <mergeCell ref="C56:J56"/>
    <mergeCell ref="C57:J57"/>
    <mergeCell ref="C58:J58"/>
    <mergeCell ref="C65:G65"/>
    <mergeCell ref="C59:J59"/>
    <mergeCell ref="C60:J60"/>
    <mergeCell ref="C61:J61"/>
    <mergeCell ref="C62:J62"/>
    <mergeCell ref="C63:J63"/>
    <mergeCell ref="C64:J64"/>
    <mergeCell ref="C211:G211"/>
    <mergeCell ref="C209:J209"/>
    <mergeCell ref="B204:N204"/>
    <mergeCell ref="C205:J205"/>
    <mergeCell ref="C206:J206"/>
    <mergeCell ref="C207:J207"/>
    <mergeCell ref="C208:J208"/>
    <mergeCell ref="C210:J210"/>
    <mergeCell ref="C222:J222"/>
    <mergeCell ref="C223:G223"/>
    <mergeCell ref="C219:J219"/>
    <mergeCell ref="C220:J220"/>
    <mergeCell ref="C221:J221"/>
    <mergeCell ref="B214:N214"/>
    <mergeCell ref="C215:J215"/>
    <mergeCell ref="C216:J216"/>
    <mergeCell ref="C217:J217"/>
    <mergeCell ref="C218:J2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Q35" sqref="Q35"/>
    </sheetView>
  </sheetViews>
  <sheetFormatPr defaultColWidth="9.140625" defaultRowHeight="15"/>
  <cols>
    <col min="7" max="7" width="14.28125" style="0" customWidth="1"/>
  </cols>
  <sheetData>
    <row r="1" spans="1:7" ht="15.75" thickBot="1">
      <c r="A1" s="270" t="s">
        <v>45</v>
      </c>
      <c r="B1" s="271"/>
      <c r="C1" s="271"/>
      <c r="D1" s="271"/>
      <c r="E1" s="271"/>
      <c r="F1" s="271"/>
      <c r="G1" s="272"/>
    </row>
    <row r="2" spans="1:7" ht="15">
      <c r="A2" s="61" t="s">
        <v>25</v>
      </c>
      <c r="B2" s="61" t="s">
        <v>46</v>
      </c>
      <c r="C2" s="273" t="s">
        <v>42</v>
      </c>
      <c r="D2" s="273"/>
      <c r="E2" s="273"/>
      <c r="F2" s="273"/>
      <c r="G2" s="61" t="s">
        <v>47</v>
      </c>
    </row>
    <row r="3" spans="1:7" ht="15">
      <c r="A3" s="57" t="s">
        <v>50</v>
      </c>
      <c r="B3" s="58"/>
      <c r="C3" s="265" t="s">
        <v>54</v>
      </c>
      <c r="D3" s="265"/>
      <c r="E3" s="265"/>
      <c r="F3" s="265"/>
      <c r="G3" s="58"/>
    </row>
    <row r="4" spans="1:7" s="1" customFormat="1" ht="30" customHeight="1">
      <c r="A4" s="53" t="s">
        <v>5</v>
      </c>
      <c r="B4" s="53" t="s">
        <v>93</v>
      </c>
      <c r="C4" s="274" t="s">
        <v>277</v>
      </c>
      <c r="D4" s="275"/>
      <c r="E4" s="275"/>
      <c r="F4" s="276"/>
      <c r="G4" s="59">
        <v>0.0587</v>
      </c>
    </row>
    <row r="5" spans="1:7" ht="15">
      <c r="A5" s="55" t="s">
        <v>32</v>
      </c>
      <c r="B5" s="55" t="s">
        <v>51</v>
      </c>
      <c r="C5" s="264" t="s">
        <v>91</v>
      </c>
      <c r="D5" s="264"/>
      <c r="E5" s="264"/>
      <c r="F5" s="264"/>
      <c r="G5" s="59">
        <v>0.0075</v>
      </c>
    </row>
    <row r="6" spans="1:7" s="56" customFormat="1" ht="45" customHeight="1">
      <c r="A6" s="52" t="s">
        <v>35</v>
      </c>
      <c r="B6" s="52" t="s">
        <v>52</v>
      </c>
      <c r="C6" s="277" t="s">
        <v>92</v>
      </c>
      <c r="D6" s="277"/>
      <c r="E6" s="277"/>
      <c r="F6" s="277"/>
      <c r="G6" s="60">
        <v>0.0174</v>
      </c>
    </row>
    <row r="7" spans="1:7" ht="15">
      <c r="A7" s="55" t="s">
        <v>48</v>
      </c>
      <c r="B7" s="55" t="s">
        <v>53</v>
      </c>
      <c r="C7" s="264" t="s">
        <v>55</v>
      </c>
      <c r="D7" s="264"/>
      <c r="E7" s="264"/>
      <c r="F7" s="264"/>
      <c r="G7" s="59">
        <v>0.0117</v>
      </c>
    </row>
    <row r="8" spans="1:7" ht="15">
      <c r="A8" s="57" t="s">
        <v>56</v>
      </c>
      <c r="B8" s="58"/>
      <c r="C8" s="265" t="s">
        <v>57</v>
      </c>
      <c r="D8" s="265"/>
      <c r="E8" s="265"/>
      <c r="F8" s="265"/>
      <c r="G8" s="58"/>
    </row>
    <row r="9" spans="1:7" ht="15">
      <c r="A9" s="55" t="s">
        <v>58</v>
      </c>
      <c r="B9" s="82" t="s">
        <v>94</v>
      </c>
      <c r="C9" s="264" t="s">
        <v>61</v>
      </c>
      <c r="D9" s="264"/>
      <c r="E9" s="264"/>
      <c r="F9" s="264"/>
      <c r="G9" s="60">
        <v>0.03</v>
      </c>
    </row>
    <row r="10" spans="1:7" ht="15">
      <c r="A10" s="55" t="s">
        <v>59</v>
      </c>
      <c r="B10" s="82" t="s">
        <v>95</v>
      </c>
      <c r="C10" s="264" t="s">
        <v>62</v>
      </c>
      <c r="D10" s="264"/>
      <c r="E10" s="264"/>
      <c r="F10" s="264"/>
      <c r="G10" s="60">
        <v>0.0065</v>
      </c>
    </row>
    <row r="11" spans="1:14" ht="15">
      <c r="A11" s="55" t="s">
        <v>60</v>
      </c>
      <c r="B11" s="82" t="s">
        <v>96</v>
      </c>
      <c r="C11" s="264" t="s">
        <v>66</v>
      </c>
      <c r="D11" s="264"/>
      <c r="E11" s="264"/>
      <c r="F11" s="264"/>
      <c r="G11" s="60">
        <v>0.02</v>
      </c>
      <c r="K11" t="s">
        <v>70</v>
      </c>
      <c r="L11">
        <v>9</v>
      </c>
      <c r="N11">
        <v>3.17</v>
      </c>
    </row>
    <row r="12" spans="1:14" ht="15">
      <c r="A12" s="57" t="s">
        <v>63</v>
      </c>
      <c r="B12" s="57"/>
      <c r="C12" s="265" t="s">
        <v>64</v>
      </c>
      <c r="D12" s="265"/>
      <c r="E12" s="265"/>
      <c r="F12" s="265"/>
      <c r="G12" s="58"/>
      <c r="K12" t="s">
        <v>71</v>
      </c>
      <c r="L12">
        <v>1</v>
      </c>
      <c r="N12">
        <f>0.21+0.24+0.57</f>
        <v>1.02</v>
      </c>
    </row>
    <row r="13" spans="1:14" ht="15">
      <c r="A13" s="55" t="s">
        <v>65</v>
      </c>
      <c r="B13" s="82" t="s">
        <v>97</v>
      </c>
      <c r="C13" s="266" t="s">
        <v>64</v>
      </c>
      <c r="D13" s="267"/>
      <c r="E13" s="267"/>
      <c r="F13" s="268"/>
      <c r="G13" s="64">
        <v>0.0824</v>
      </c>
      <c r="K13" t="s">
        <v>72</v>
      </c>
      <c r="L13">
        <v>1</v>
      </c>
      <c r="N13">
        <v>1</v>
      </c>
    </row>
    <row r="14" spans="1:14" ht="15.75" thickBot="1">
      <c r="A14" s="54"/>
      <c r="C14" s="269"/>
      <c r="D14" s="269"/>
      <c r="E14" s="269"/>
      <c r="F14" s="269"/>
      <c r="K14" t="s">
        <v>57</v>
      </c>
      <c r="L14">
        <v>8.05</v>
      </c>
      <c r="N14">
        <f>3+0.65+G11*100</f>
        <v>5.65</v>
      </c>
    </row>
    <row r="15" spans="1:26" ht="15.75" thickBot="1">
      <c r="A15" s="54"/>
      <c r="C15" s="269"/>
      <c r="D15" s="280"/>
      <c r="E15" s="278" t="s">
        <v>74</v>
      </c>
      <c r="F15" s="279"/>
      <c r="G15" s="65">
        <f>((1+G4+G5+G6)*(1+G7)*(1+G13)/(1-G9-G10-G11))-1</f>
        <v>0.25766977963752025</v>
      </c>
      <c r="K15" t="s">
        <v>73</v>
      </c>
      <c r="L15">
        <v>2</v>
      </c>
      <c r="N15">
        <v>0</v>
      </c>
      <c r="S15" s="270" t="s">
        <v>45</v>
      </c>
      <c r="T15" s="271"/>
      <c r="U15" s="271"/>
      <c r="V15" s="271"/>
      <c r="W15" s="271"/>
      <c r="X15" s="271"/>
      <c r="Y15" s="272"/>
      <c r="Z15" s="83"/>
    </row>
    <row r="16" spans="1:26" ht="15">
      <c r="A16" s="54"/>
      <c r="C16" s="269"/>
      <c r="D16" s="269"/>
      <c r="E16" s="269"/>
      <c r="F16" s="269"/>
      <c r="K16" t="s">
        <v>64</v>
      </c>
      <c r="L16">
        <v>10</v>
      </c>
      <c r="N16">
        <v>9.32</v>
      </c>
      <c r="S16" s="198" t="s">
        <v>25</v>
      </c>
      <c r="T16" s="198" t="s">
        <v>46</v>
      </c>
      <c r="U16" s="273" t="s">
        <v>42</v>
      </c>
      <c r="V16" s="273"/>
      <c r="W16" s="273"/>
      <c r="X16" s="273"/>
      <c r="Y16" s="198" t="s">
        <v>47</v>
      </c>
      <c r="Z16" s="83"/>
    </row>
    <row r="17" spans="1:26" ht="15">
      <c r="A17" s="54"/>
      <c r="C17" s="269"/>
      <c r="D17" s="269"/>
      <c r="E17" s="269"/>
      <c r="F17" s="269"/>
      <c r="S17" s="57" t="s">
        <v>50</v>
      </c>
      <c r="T17" s="58"/>
      <c r="U17" s="265" t="s">
        <v>54</v>
      </c>
      <c r="V17" s="265"/>
      <c r="W17" s="265"/>
      <c r="X17" s="265"/>
      <c r="Y17" s="58"/>
      <c r="Z17" s="83"/>
    </row>
    <row r="18" spans="1:26" ht="15">
      <c r="A18" s="54"/>
      <c r="C18" s="269"/>
      <c r="D18" s="269"/>
      <c r="E18" s="269"/>
      <c r="F18" s="269"/>
      <c r="L18">
        <f>((1+L11/100)*(1+L12/100)*(1+L13/100)/(1-(L14+L15+L16)/100))-1</f>
        <v>0.3907554721701063</v>
      </c>
      <c r="N18">
        <f>((1+N11/100)*(1+N12/100)*(1+N13/100)/(1-(N14+N15+N16)/100))-1</f>
        <v>0.23796962648476994</v>
      </c>
      <c r="S18" s="53" t="s">
        <v>5</v>
      </c>
      <c r="T18" s="53" t="s">
        <v>93</v>
      </c>
      <c r="U18" s="274" t="s">
        <v>277</v>
      </c>
      <c r="V18" s="275"/>
      <c r="W18" s="275"/>
      <c r="X18" s="276"/>
      <c r="Y18" s="59">
        <v>0.0587</v>
      </c>
      <c r="Z18" s="1"/>
    </row>
    <row r="19" spans="1:26" ht="15">
      <c r="A19" s="54"/>
      <c r="C19" s="269"/>
      <c r="D19" s="269"/>
      <c r="E19" s="269"/>
      <c r="F19" s="269"/>
      <c r="S19" s="82" t="s">
        <v>32</v>
      </c>
      <c r="T19" s="82" t="s">
        <v>51</v>
      </c>
      <c r="U19" s="264" t="s">
        <v>91</v>
      </c>
      <c r="V19" s="264"/>
      <c r="W19" s="264"/>
      <c r="X19" s="264"/>
      <c r="Y19" s="59">
        <v>0.0075</v>
      </c>
      <c r="Z19" s="83"/>
    </row>
    <row r="20" spans="1:26" ht="15">
      <c r="A20" s="54"/>
      <c r="C20" s="269"/>
      <c r="D20" s="269"/>
      <c r="E20" s="269"/>
      <c r="F20" s="269"/>
      <c r="S20" s="52" t="s">
        <v>35</v>
      </c>
      <c r="T20" s="52" t="s">
        <v>52</v>
      </c>
      <c r="U20" s="277" t="s">
        <v>92</v>
      </c>
      <c r="V20" s="277"/>
      <c r="W20" s="277"/>
      <c r="X20" s="277"/>
      <c r="Y20" s="60">
        <v>0.0174</v>
      </c>
      <c r="Z20" s="56"/>
    </row>
    <row r="21" spans="1:26" ht="15">
      <c r="A21" s="54"/>
      <c r="C21" s="269"/>
      <c r="D21" s="269"/>
      <c r="E21" s="269"/>
      <c r="F21" s="269"/>
      <c r="S21" s="82" t="s">
        <v>48</v>
      </c>
      <c r="T21" s="82" t="s">
        <v>53</v>
      </c>
      <c r="U21" s="264" t="s">
        <v>55</v>
      </c>
      <c r="V21" s="264"/>
      <c r="W21" s="264"/>
      <c r="X21" s="264"/>
      <c r="Y21" s="59">
        <v>0.0117</v>
      </c>
      <c r="Z21" s="83"/>
    </row>
    <row r="22" spans="1:26" ht="15">
      <c r="A22" s="54"/>
      <c r="C22" s="269"/>
      <c r="D22" s="269"/>
      <c r="E22" s="269"/>
      <c r="F22" s="269"/>
      <c r="K22" t="s">
        <v>69</v>
      </c>
      <c r="L22">
        <f>(1+G4+G5+G6+G7)/(1-(G9+G10+G11+G13))-1</f>
        <v>0.27197770293810275</v>
      </c>
      <c r="S22" s="57" t="s">
        <v>56</v>
      </c>
      <c r="T22" s="58"/>
      <c r="U22" s="265" t="s">
        <v>57</v>
      </c>
      <c r="V22" s="265"/>
      <c r="W22" s="265"/>
      <c r="X22" s="265"/>
      <c r="Y22" s="58"/>
      <c r="Z22" s="83"/>
    </row>
    <row r="23" spans="1:26" ht="15">
      <c r="A23" s="54"/>
      <c r="C23" s="269"/>
      <c r="D23" s="269"/>
      <c r="E23" s="269"/>
      <c r="F23" s="269"/>
      <c r="S23" s="82" t="s">
        <v>58</v>
      </c>
      <c r="T23" s="82" t="s">
        <v>94</v>
      </c>
      <c r="U23" s="264" t="s">
        <v>61</v>
      </c>
      <c r="V23" s="264"/>
      <c r="W23" s="264"/>
      <c r="X23" s="264"/>
      <c r="Y23" s="60">
        <v>0.03</v>
      </c>
      <c r="Z23" s="83"/>
    </row>
    <row r="24" spans="1:26" ht="15">
      <c r="A24" s="54"/>
      <c r="C24" s="269"/>
      <c r="D24" s="269"/>
      <c r="E24" s="269"/>
      <c r="F24" s="269"/>
      <c r="K24" t="s">
        <v>69</v>
      </c>
      <c r="S24" s="82" t="s">
        <v>59</v>
      </c>
      <c r="T24" s="82" t="s">
        <v>95</v>
      </c>
      <c r="U24" s="264" t="s">
        <v>62</v>
      </c>
      <c r="V24" s="264"/>
      <c r="W24" s="264"/>
      <c r="X24" s="264"/>
      <c r="Y24" s="60">
        <v>0.0065</v>
      </c>
      <c r="Z24" s="83"/>
    </row>
    <row r="25" spans="1:26" ht="15">
      <c r="A25" s="54"/>
      <c r="C25" s="269"/>
      <c r="D25" s="269"/>
      <c r="E25" s="269"/>
      <c r="F25" s="269"/>
      <c r="S25" s="82" t="s">
        <v>60</v>
      </c>
      <c r="T25" s="82" t="s">
        <v>96</v>
      </c>
      <c r="U25" s="264" t="s">
        <v>66</v>
      </c>
      <c r="V25" s="264"/>
      <c r="W25" s="264"/>
      <c r="X25" s="264"/>
      <c r="Y25" s="60">
        <v>0.02</v>
      </c>
      <c r="Z25" s="83"/>
    </row>
    <row r="26" spans="1:26" ht="15">
      <c r="A26" s="54"/>
      <c r="C26" s="269"/>
      <c r="D26" s="269"/>
      <c r="E26" s="269"/>
      <c r="F26" s="269"/>
      <c r="S26" s="57" t="s">
        <v>63</v>
      </c>
      <c r="T26" s="57"/>
      <c r="U26" s="265" t="s">
        <v>64</v>
      </c>
      <c r="V26" s="265"/>
      <c r="W26" s="265"/>
      <c r="X26" s="265"/>
      <c r="Y26" s="58"/>
      <c r="Z26" s="83"/>
    </row>
    <row r="27" spans="1:26" ht="15">
      <c r="A27" s="54"/>
      <c r="C27" s="269"/>
      <c r="D27" s="269"/>
      <c r="E27" s="269"/>
      <c r="F27" s="269"/>
      <c r="S27" s="82" t="s">
        <v>65</v>
      </c>
      <c r="T27" s="82" t="s">
        <v>97</v>
      </c>
      <c r="U27" s="266" t="s">
        <v>64</v>
      </c>
      <c r="V27" s="267"/>
      <c r="W27" s="267"/>
      <c r="X27" s="268"/>
      <c r="Y27" s="64">
        <v>0.0824</v>
      </c>
      <c r="Z27" s="83"/>
    </row>
    <row r="28" spans="1:26" ht="15">
      <c r="A28" s="54"/>
      <c r="C28" s="269"/>
      <c r="D28" s="269"/>
      <c r="E28" s="269"/>
      <c r="F28" s="269"/>
      <c r="S28" s="197"/>
      <c r="T28" s="83"/>
      <c r="U28" s="269"/>
      <c r="V28" s="269"/>
      <c r="W28" s="269"/>
      <c r="X28" s="269"/>
      <c r="Y28" s="83"/>
      <c r="Z28" s="83"/>
    </row>
    <row r="29" spans="1:26" ht="15">
      <c r="A29" s="54"/>
      <c r="C29" s="269"/>
      <c r="D29" s="269"/>
      <c r="E29" s="269"/>
      <c r="F29" s="269"/>
      <c r="S29" s="197"/>
      <c r="T29" s="83"/>
      <c r="U29" s="269"/>
      <c r="V29" s="280"/>
      <c r="W29" s="278" t="s">
        <v>74</v>
      </c>
      <c r="X29" s="279"/>
      <c r="Y29" s="65">
        <f>((1+Y18+Y19+Y20)*(1+Y21)*(1+Y27)/(1-Y23-Y24-Y25))-1</f>
        <v>0.25766977963752025</v>
      </c>
      <c r="Z29" s="83"/>
    </row>
    <row r="30" spans="1:26" ht="15">
      <c r="A30" s="54"/>
      <c r="C30" s="269"/>
      <c r="D30" s="269"/>
      <c r="E30" s="269"/>
      <c r="F30" s="269"/>
      <c r="S30" s="197"/>
      <c r="T30" s="83"/>
      <c r="U30" s="269"/>
      <c r="V30" s="269"/>
      <c r="W30" s="269"/>
      <c r="X30" s="269"/>
      <c r="Y30" s="83"/>
      <c r="Z30" s="83"/>
    </row>
    <row r="31" spans="1:26" ht="15">
      <c r="A31" s="54"/>
      <c r="C31" s="269"/>
      <c r="D31" s="269"/>
      <c r="E31" s="269"/>
      <c r="F31" s="269"/>
      <c r="S31" s="197"/>
      <c r="T31" s="83"/>
      <c r="U31" s="269"/>
      <c r="V31" s="269"/>
      <c r="W31" s="269"/>
      <c r="X31" s="269"/>
      <c r="Y31" s="83"/>
      <c r="Z31" s="83"/>
    </row>
    <row r="32" spans="1:26" ht="15">
      <c r="A32" s="54"/>
      <c r="S32" s="197"/>
      <c r="T32" s="83"/>
      <c r="U32" s="269"/>
      <c r="V32" s="269"/>
      <c r="W32" s="269"/>
      <c r="X32" s="269"/>
      <c r="Y32" s="83"/>
      <c r="Z32" s="83"/>
    </row>
    <row r="33" ht="15">
      <c r="A33" s="54"/>
    </row>
    <row r="34" ht="15">
      <c r="A34" s="54"/>
    </row>
  </sheetData>
  <sheetProtection/>
  <mergeCells count="51">
    <mergeCell ref="U32:X32"/>
    <mergeCell ref="U27:X27"/>
    <mergeCell ref="U28:X28"/>
    <mergeCell ref="U29:V29"/>
    <mergeCell ref="W29:X29"/>
    <mergeCell ref="U30:X30"/>
    <mergeCell ref="U31:X31"/>
    <mergeCell ref="U21:X21"/>
    <mergeCell ref="U22:X22"/>
    <mergeCell ref="U23:X23"/>
    <mergeCell ref="U24:X24"/>
    <mergeCell ref="U25:X25"/>
    <mergeCell ref="U26:X26"/>
    <mergeCell ref="S15:Y15"/>
    <mergeCell ref="U16:X16"/>
    <mergeCell ref="U17:X17"/>
    <mergeCell ref="U18:X18"/>
    <mergeCell ref="U19:X19"/>
    <mergeCell ref="U20:X20"/>
    <mergeCell ref="C29:F29"/>
    <mergeCell ref="C30:F30"/>
    <mergeCell ref="E15:F15"/>
    <mergeCell ref="C25:F25"/>
    <mergeCell ref="C23:F23"/>
    <mergeCell ref="C24:F24"/>
    <mergeCell ref="C15:D15"/>
    <mergeCell ref="C26:F26"/>
    <mergeCell ref="C27:F27"/>
    <mergeCell ref="C28:F28"/>
    <mergeCell ref="C7:F7"/>
    <mergeCell ref="C8:F8"/>
    <mergeCell ref="C31:F31"/>
    <mergeCell ref="C16:F16"/>
    <mergeCell ref="C17:F17"/>
    <mergeCell ref="C18:F18"/>
    <mergeCell ref="C19:F19"/>
    <mergeCell ref="C20:F20"/>
    <mergeCell ref="C21:F21"/>
    <mergeCell ref="C22:F22"/>
    <mergeCell ref="A1:G1"/>
    <mergeCell ref="C2:F2"/>
    <mergeCell ref="C3:F3"/>
    <mergeCell ref="C4:F4"/>
    <mergeCell ref="C5:F5"/>
    <mergeCell ref="C6:F6"/>
    <mergeCell ref="C9:F9"/>
    <mergeCell ref="C10:F10"/>
    <mergeCell ref="C11:F11"/>
    <mergeCell ref="C12:F12"/>
    <mergeCell ref="C13:F13"/>
    <mergeCell ref="C14:F1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zoomScale="115" zoomScaleNormal="115" zoomScalePageLayoutView="0" workbookViewId="0" topLeftCell="A1">
      <selection activeCell="G28" sqref="G28"/>
    </sheetView>
  </sheetViews>
  <sheetFormatPr defaultColWidth="9.140625" defaultRowHeight="15"/>
  <cols>
    <col min="3" max="3" width="32.421875" style="0" customWidth="1"/>
    <col min="4" max="4" width="15.8515625" style="0" customWidth="1"/>
    <col min="5" max="5" width="15.7109375" style="0" customWidth="1"/>
    <col min="10" max="19" width="9.140625" style="83" customWidth="1"/>
    <col min="22" max="22" width="9.140625" style="83" customWidth="1"/>
    <col min="23" max="23" width="22.421875" style="83" customWidth="1"/>
  </cols>
  <sheetData>
    <row r="1" spans="1:27" ht="42" customHeight="1">
      <c r="A1" s="314" t="s">
        <v>30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6"/>
      <c r="V1" s="6"/>
      <c r="W1" s="6"/>
      <c r="X1" s="6"/>
      <c r="Y1" s="6"/>
      <c r="Z1" s="6"/>
      <c r="AA1" s="6"/>
    </row>
    <row r="2" spans="1:27" ht="15">
      <c r="A2" s="151"/>
      <c r="B2" s="8"/>
      <c r="C2" s="9"/>
      <c r="D2" s="10"/>
      <c r="E2" s="11"/>
      <c r="F2" s="12"/>
      <c r="G2" s="7"/>
      <c r="H2" s="1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52"/>
      <c r="V2" s="7"/>
      <c r="W2" s="7"/>
      <c r="X2" s="7"/>
      <c r="Y2" s="7"/>
      <c r="Z2" s="7"/>
      <c r="AA2" s="7"/>
    </row>
    <row r="3" spans="1:27" ht="15.75" thickBot="1">
      <c r="A3" s="153"/>
      <c r="B3" s="33"/>
      <c r="C3" s="33"/>
      <c r="D3" s="34"/>
      <c r="E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154"/>
      <c r="V3" s="33"/>
      <c r="W3" s="33"/>
      <c r="X3" s="7"/>
      <c r="Y3" s="7"/>
      <c r="Z3" s="7"/>
      <c r="AA3" s="7"/>
    </row>
    <row r="4" spans="1:27" ht="15.75" thickBot="1">
      <c r="A4" s="330" t="s">
        <v>22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2"/>
      <c r="V4" s="86"/>
      <c r="W4" s="86"/>
      <c r="X4" s="7"/>
      <c r="Y4" s="7"/>
      <c r="Z4" s="7"/>
      <c r="AA4" s="7"/>
    </row>
    <row r="5" spans="1:27" ht="26.25" customHeight="1">
      <c r="A5" s="333" t="s">
        <v>166</v>
      </c>
      <c r="B5" s="334"/>
      <c r="C5" s="335"/>
      <c r="D5" s="336" t="s">
        <v>29</v>
      </c>
      <c r="E5" s="337"/>
      <c r="F5" s="338">
        <f>E20</f>
        <v>240083.49</v>
      </c>
      <c r="G5" s="338"/>
      <c r="H5" s="32"/>
      <c r="I5" s="339" t="s">
        <v>176</v>
      </c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40"/>
      <c r="V5" s="87"/>
      <c r="W5" s="87"/>
      <c r="X5" s="16"/>
      <c r="Y5" s="16"/>
      <c r="Z5" s="16"/>
      <c r="AA5" s="16"/>
    </row>
    <row r="6" spans="1:29" ht="26.25" customHeight="1" thickBot="1">
      <c r="A6" s="295" t="s">
        <v>193</v>
      </c>
      <c r="B6" s="296"/>
      <c r="C6" s="297"/>
      <c r="D6" s="298" t="s">
        <v>194</v>
      </c>
      <c r="E6" s="299"/>
      <c r="F6" s="299"/>
      <c r="G6" s="299"/>
      <c r="H6" s="300"/>
      <c r="I6" s="301" t="s">
        <v>276</v>
      </c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3"/>
      <c r="V6" s="87"/>
      <c r="W6" s="87"/>
      <c r="X6" s="29"/>
      <c r="Y6" s="29"/>
      <c r="Z6" s="29"/>
      <c r="AA6" s="29"/>
      <c r="AB6" s="30"/>
      <c r="AC6" s="30"/>
    </row>
    <row r="7" spans="1:29" s="38" customFormat="1" ht="15.75" thickBot="1">
      <c r="A7" s="84"/>
      <c r="B7" s="13"/>
      <c r="C7" s="14"/>
      <c r="D7" s="10"/>
      <c r="E7" s="11"/>
      <c r="F7" s="13"/>
      <c r="G7" s="7"/>
      <c r="H7" s="1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5"/>
      <c r="U7" s="152"/>
      <c r="V7" s="7"/>
      <c r="W7" s="7"/>
      <c r="X7" s="36"/>
      <c r="Y7" s="36"/>
      <c r="Z7" s="36"/>
      <c r="AA7" s="36"/>
      <c r="AB7" s="37"/>
      <c r="AC7" s="37"/>
    </row>
    <row r="8" spans="1:29" s="38" customFormat="1" ht="28.5" customHeight="1" thickBot="1">
      <c r="A8" s="155" t="s">
        <v>25</v>
      </c>
      <c r="B8" s="323" t="s">
        <v>26</v>
      </c>
      <c r="C8" s="324"/>
      <c r="D8" s="43" t="s">
        <v>27</v>
      </c>
      <c r="E8" s="44" t="s">
        <v>28</v>
      </c>
      <c r="F8" s="293" t="s">
        <v>67</v>
      </c>
      <c r="G8" s="293"/>
      <c r="H8" s="293" t="s">
        <v>68</v>
      </c>
      <c r="I8" s="293"/>
      <c r="J8" s="293" t="s">
        <v>99</v>
      </c>
      <c r="K8" s="293"/>
      <c r="L8" s="293" t="s">
        <v>100</v>
      </c>
      <c r="M8" s="293"/>
      <c r="N8" s="293" t="s">
        <v>101</v>
      </c>
      <c r="O8" s="293"/>
      <c r="P8" s="293" t="s">
        <v>102</v>
      </c>
      <c r="Q8" s="293"/>
      <c r="R8" s="293" t="s">
        <v>136</v>
      </c>
      <c r="S8" s="293"/>
      <c r="T8" s="293" t="s">
        <v>137</v>
      </c>
      <c r="U8" s="343"/>
      <c r="V8" s="88"/>
      <c r="W8" s="88"/>
      <c r="X8" s="36"/>
      <c r="Y8" s="36"/>
      <c r="Z8" s="36"/>
      <c r="AA8" s="36"/>
      <c r="AB8" s="37"/>
      <c r="AC8" s="37"/>
    </row>
    <row r="9" spans="1:29" s="38" customFormat="1" ht="12">
      <c r="A9" s="307">
        <v>1</v>
      </c>
      <c r="B9" s="308" t="s">
        <v>107</v>
      </c>
      <c r="C9" s="308"/>
      <c r="D9" s="40" t="s">
        <v>23</v>
      </c>
      <c r="E9" s="41">
        <f>E10/$E$20</f>
        <v>0.07446576188974928</v>
      </c>
      <c r="F9" s="294">
        <v>0.8</v>
      </c>
      <c r="G9" s="294"/>
      <c r="H9" s="294">
        <v>0.2</v>
      </c>
      <c r="I9" s="294"/>
      <c r="J9" s="294"/>
      <c r="K9" s="294"/>
      <c r="L9" s="294"/>
      <c r="M9" s="294"/>
      <c r="N9" s="341"/>
      <c r="O9" s="342"/>
      <c r="P9" s="341"/>
      <c r="Q9" s="342"/>
      <c r="R9" s="341"/>
      <c r="S9" s="342"/>
      <c r="T9" s="294"/>
      <c r="U9" s="344"/>
      <c r="V9" s="89"/>
      <c r="W9" s="89"/>
      <c r="X9" s="35"/>
      <c r="Y9" s="35"/>
      <c r="Z9" s="35"/>
      <c r="AA9" s="35"/>
      <c r="AB9" s="37"/>
      <c r="AC9" s="37"/>
    </row>
    <row r="10" spans="1:29" s="38" customFormat="1" ht="12">
      <c r="A10" s="288"/>
      <c r="B10" s="309"/>
      <c r="C10" s="309"/>
      <c r="D10" s="39" t="s">
        <v>24</v>
      </c>
      <c r="E10" s="42">
        <f>('Planilha Orçamentária'!I13)</f>
        <v>17878</v>
      </c>
      <c r="F10" s="286">
        <f>F9*$E$10</f>
        <v>14302.400000000001</v>
      </c>
      <c r="G10" s="286"/>
      <c r="H10" s="286">
        <f>H9*$E$10</f>
        <v>3575.6000000000004</v>
      </c>
      <c r="I10" s="286"/>
      <c r="J10" s="286"/>
      <c r="K10" s="286"/>
      <c r="L10" s="286"/>
      <c r="M10" s="286"/>
      <c r="N10" s="328"/>
      <c r="O10" s="329"/>
      <c r="P10" s="328"/>
      <c r="Q10" s="329"/>
      <c r="R10" s="328"/>
      <c r="S10" s="329"/>
      <c r="T10" s="286"/>
      <c r="U10" s="287"/>
      <c r="V10" s="90"/>
      <c r="W10" s="97">
        <f aca="true" t="shared" si="0" ref="W10:W19">SUM(F10:U10)</f>
        <v>17878</v>
      </c>
      <c r="X10" s="36"/>
      <c r="Y10" s="36"/>
      <c r="Z10" s="36"/>
      <c r="AA10" s="36"/>
      <c r="AB10" s="37"/>
      <c r="AC10" s="37"/>
    </row>
    <row r="11" spans="1:29" s="38" customFormat="1" ht="12">
      <c r="A11" s="288">
        <v>2</v>
      </c>
      <c r="B11" s="310" t="s">
        <v>195</v>
      </c>
      <c r="C11" s="311"/>
      <c r="D11" s="39" t="s">
        <v>23</v>
      </c>
      <c r="E11" s="41">
        <f>E12/$E$20</f>
        <v>0.6318557348529048</v>
      </c>
      <c r="F11" s="284">
        <v>0.65</v>
      </c>
      <c r="G11" s="284"/>
      <c r="H11" s="284">
        <v>0.35</v>
      </c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5"/>
      <c r="V11" s="89"/>
      <c r="W11" s="96">
        <f t="shared" si="0"/>
        <v>1</v>
      </c>
      <c r="X11" s="35"/>
      <c r="Y11" s="35"/>
      <c r="Z11" s="35"/>
      <c r="AA11" s="35"/>
      <c r="AB11" s="37"/>
      <c r="AC11" s="37"/>
    </row>
    <row r="12" spans="1:29" s="38" customFormat="1" ht="12">
      <c r="A12" s="288"/>
      <c r="B12" s="312"/>
      <c r="C12" s="313"/>
      <c r="D12" s="39" t="s">
        <v>24</v>
      </c>
      <c r="E12" s="42">
        <f>('Planilha Orçamentária'!I26)</f>
        <v>151698.13</v>
      </c>
      <c r="F12" s="286">
        <f>F11*$E$12</f>
        <v>98603.78450000001</v>
      </c>
      <c r="G12" s="286"/>
      <c r="H12" s="286">
        <f>H11*$E$12</f>
        <v>53094.345499999996</v>
      </c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7"/>
      <c r="V12" s="90"/>
      <c r="W12" s="97">
        <f t="shared" si="0"/>
        <v>151698.13</v>
      </c>
      <c r="X12" s="36"/>
      <c r="Y12" s="36"/>
      <c r="Z12" s="36"/>
      <c r="AA12" s="36"/>
      <c r="AB12" s="37"/>
      <c r="AC12" s="37"/>
    </row>
    <row r="13" spans="1:29" s="38" customFormat="1" ht="12">
      <c r="A13" s="288">
        <v>3</v>
      </c>
      <c r="B13" s="289" t="s">
        <v>196</v>
      </c>
      <c r="C13" s="290"/>
      <c r="D13" s="39" t="s">
        <v>23</v>
      </c>
      <c r="E13" s="41">
        <f>E14/$E$20</f>
        <v>0.0539174934519654</v>
      </c>
      <c r="F13" s="284">
        <v>0.65</v>
      </c>
      <c r="G13" s="284"/>
      <c r="H13" s="284">
        <v>0.35</v>
      </c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5"/>
      <c r="V13" s="89"/>
      <c r="W13" s="96">
        <f t="shared" si="0"/>
        <v>1</v>
      </c>
      <c r="X13" s="35"/>
      <c r="Y13" s="35"/>
      <c r="Z13" s="35"/>
      <c r="AA13" s="35"/>
      <c r="AB13" s="37"/>
      <c r="AC13" s="37"/>
    </row>
    <row r="14" spans="1:29" s="38" customFormat="1" ht="12">
      <c r="A14" s="288"/>
      <c r="B14" s="291"/>
      <c r="C14" s="292"/>
      <c r="D14" s="39" t="s">
        <v>24</v>
      </c>
      <c r="E14" s="42">
        <f>('Planilha Orçamentária'!I31)</f>
        <v>12944.7</v>
      </c>
      <c r="F14" s="286">
        <f>ROUNDDOWN(F13*$E$14,2)</f>
        <v>8414.05</v>
      </c>
      <c r="G14" s="286"/>
      <c r="H14" s="286">
        <f>H13*$E$14</f>
        <v>4530.6449999999995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7"/>
      <c r="V14" s="90"/>
      <c r="W14" s="97">
        <f t="shared" si="0"/>
        <v>12944.695</v>
      </c>
      <c r="X14" s="36"/>
      <c r="Y14" s="36"/>
      <c r="Z14" s="36"/>
      <c r="AA14" s="36"/>
      <c r="AB14" s="37"/>
      <c r="AC14" s="37"/>
    </row>
    <row r="15" spans="1:29" s="38" customFormat="1" ht="12">
      <c r="A15" s="288">
        <v>4</v>
      </c>
      <c r="B15" s="289" t="s">
        <v>197</v>
      </c>
      <c r="C15" s="290"/>
      <c r="D15" s="39" t="s">
        <v>23</v>
      </c>
      <c r="E15" s="41">
        <f>E16/$E$20</f>
        <v>0.04661953223022541</v>
      </c>
      <c r="F15" s="284">
        <v>0.65</v>
      </c>
      <c r="G15" s="284"/>
      <c r="H15" s="284">
        <v>0.35</v>
      </c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5"/>
      <c r="V15" s="89"/>
      <c r="W15" s="96">
        <f t="shared" si="0"/>
        <v>1</v>
      </c>
      <c r="X15" s="35"/>
      <c r="Y15" s="35"/>
      <c r="Z15" s="35"/>
      <c r="AA15" s="35"/>
      <c r="AB15" s="37"/>
      <c r="AC15" s="37"/>
    </row>
    <row r="16" spans="1:29" ht="12" customHeight="1">
      <c r="A16" s="288"/>
      <c r="B16" s="291"/>
      <c r="C16" s="292"/>
      <c r="D16" s="39" t="s">
        <v>24</v>
      </c>
      <c r="E16" s="42">
        <f>('Planilha Orçamentária'!I34)</f>
        <v>11192.58</v>
      </c>
      <c r="F16" s="286">
        <f>F15*$E$16</f>
        <v>7275.177000000001</v>
      </c>
      <c r="G16" s="286"/>
      <c r="H16" s="286">
        <f>H15*$E$16</f>
        <v>3917.403</v>
      </c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7"/>
      <c r="V16" s="90"/>
      <c r="W16" s="97">
        <f t="shared" si="0"/>
        <v>11192.58</v>
      </c>
      <c r="X16" s="17"/>
      <c r="Y16" s="17"/>
      <c r="Z16" s="17"/>
      <c r="AA16" s="17"/>
      <c r="AB16" s="30"/>
      <c r="AC16" s="30"/>
    </row>
    <row r="17" spans="1:29" s="83" customFormat="1" ht="12" customHeight="1">
      <c r="A17" s="288">
        <v>5</v>
      </c>
      <c r="B17" s="289" t="s">
        <v>108</v>
      </c>
      <c r="C17" s="290"/>
      <c r="D17" s="39" t="s">
        <v>23</v>
      </c>
      <c r="E17" s="41">
        <f>E18/$E$20</f>
        <v>0.19314147757515523</v>
      </c>
      <c r="F17" s="284">
        <v>0.35</v>
      </c>
      <c r="G17" s="284"/>
      <c r="H17" s="284">
        <v>0.65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90"/>
      <c r="W17" s="96">
        <f t="shared" si="0"/>
        <v>1</v>
      </c>
      <c r="X17" s="17"/>
      <c r="Y17" s="17"/>
      <c r="Z17" s="17"/>
      <c r="AA17" s="17"/>
      <c r="AB17" s="30"/>
      <c r="AC17" s="30"/>
    </row>
    <row r="18" spans="1:29" s="83" customFormat="1" ht="12" customHeight="1">
      <c r="A18" s="288"/>
      <c r="B18" s="291"/>
      <c r="C18" s="292"/>
      <c r="D18" s="39" t="s">
        <v>24</v>
      </c>
      <c r="E18" s="42">
        <f>('Planilha Orçamentária'!I41)</f>
        <v>46370.08</v>
      </c>
      <c r="F18" s="286">
        <f>F17*$E$18</f>
        <v>16229.528</v>
      </c>
      <c r="G18" s="286"/>
      <c r="H18" s="286">
        <f>H17*$E$18</f>
        <v>30140.552000000003</v>
      </c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7"/>
      <c r="V18" s="90"/>
      <c r="W18" s="97">
        <f t="shared" si="0"/>
        <v>46370.08</v>
      </c>
      <c r="X18" s="17"/>
      <c r="Y18" s="17"/>
      <c r="Z18" s="17"/>
      <c r="AA18" s="17"/>
      <c r="AB18" s="30"/>
      <c r="AC18" s="30"/>
    </row>
    <row r="19" spans="1:29" ht="15">
      <c r="A19" s="317" t="s">
        <v>4</v>
      </c>
      <c r="B19" s="318"/>
      <c r="C19" s="319"/>
      <c r="D19" s="39" t="s">
        <v>23</v>
      </c>
      <c r="E19" s="62">
        <f>E17+E15+E13+E11+E9</f>
        <v>1.0000000000000002</v>
      </c>
      <c r="F19" s="326">
        <f>F9*$E$9+F11*$E$11+F13*$E$13+F15*$E$15+F17*$E$17</f>
        <v>0.6032274210109159</v>
      </c>
      <c r="G19" s="327"/>
      <c r="H19" s="326">
        <f>H9*$E$9+H11*$E$11+H13*$E$13+H15*$E$15+H17*$E$17</f>
        <v>0.39677257898908425</v>
      </c>
      <c r="I19" s="327"/>
      <c r="J19" s="326">
        <f>J9*$E$9+J11*$E$11+J13*$E$13+J15*$E$15+J17*$E$17</f>
        <v>0</v>
      </c>
      <c r="K19" s="327"/>
      <c r="L19" s="326">
        <f>L9*$E$9+L11*$E$11+L13*$E$13+L15*$E$15+L17*$E$17</f>
        <v>0</v>
      </c>
      <c r="M19" s="327"/>
      <c r="N19" s="326">
        <f>N9*$E$9+N11*$E$11+N13*$E$13+N15*$E$15+N17*$E$17</f>
        <v>0</v>
      </c>
      <c r="O19" s="327"/>
      <c r="P19" s="326">
        <f>P9*$E$9+P11*$E$11+P13*$E$13+P15*$E$15+P17*$E$17</f>
        <v>0</v>
      </c>
      <c r="Q19" s="327"/>
      <c r="R19" s="326">
        <f>R9*$E$9+R11*$E$11+R13*$E$13+R15*$E$15+R17*$E$17</f>
        <v>0</v>
      </c>
      <c r="S19" s="327"/>
      <c r="T19" s="326">
        <f>T9*$E$9+T11*$E$11+T13*$E$13+T15*$E$15+T17*$E$17</f>
        <v>0</v>
      </c>
      <c r="U19" s="345"/>
      <c r="V19" s="91"/>
      <c r="W19" s="96">
        <f t="shared" si="0"/>
        <v>1</v>
      </c>
      <c r="X19" s="22"/>
      <c r="Y19" s="22"/>
      <c r="Z19" s="22"/>
      <c r="AA19" s="22"/>
      <c r="AB19" s="93"/>
      <c r="AC19" s="94"/>
    </row>
    <row r="20" spans="1:29" ht="15.75" thickBot="1">
      <c r="A20" s="320"/>
      <c r="B20" s="321"/>
      <c r="C20" s="322"/>
      <c r="D20" s="45" t="s">
        <v>24</v>
      </c>
      <c r="E20" s="63">
        <f>'Planilha Orçamentária'!I44</f>
        <v>240083.49</v>
      </c>
      <c r="F20" s="325">
        <f>F19*$E$20</f>
        <v>144824.9445</v>
      </c>
      <c r="G20" s="325"/>
      <c r="H20" s="325">
        <f>H19*$E$20</f>
        <v>95258.54550000001</v>
      </c>
      <c r="I20" s="325"/>
      <c r="J20" s="325">
        <f>J19*$E$20</f>
        <v>0</v>
      </c>
      <c r="K20" s="325"/>
      <c r="L20" s="325">
        <f>L19*$E$20</f>
        <v>0</v>
      </c>
      <c r="M20" s="325"/>
      <c r="N20" s="325">
        <f>N19*$E$20</f>
        <v>0</v>
      </c>
      <c r="O20" s="325"/>
      <c r="P20" s="325">
        <f>P19*$E$20</f>
        <v>0</v>
      </c>
      <c r="Q20" s="325"/>
      <c r="R20" s="325">
        <f>ROUNDDOWN(R19*$E$20,2)</f>
        <v>0</v>
      </c>
      <c r="S20" s="325"/>
      <c r="T20" s="325">
        <f>T19*$E$20</f>
        <v>0</v>
      </c>
      <c r="U20" s="346"/>
      <c r="V20" s="92"/>
      <c r="W20" s="92">
        <f>SUM(F20:U20)</f>
        <v>240083.49000000002</v>
      </c>
      <c r="X20" s="22"/>
      <c r="Y20" s="22"/>
      <c r="Z20" s="22"/>
      <c r="AA20" s="22"/>
      <c r="AB20" s="30"/>
      <c r="AC20" s="30"/>
    </row>
    <row r="21" spans="1:29" ht="15.75" customHeight="1">
      <c r="A21" s="156"/>
      <c r="B21" s="18"/>
      <c r="C21" s="18"/>
      <c r="D21" s="19"/>
      <c r="E21" s="66"/>
      <c r="F21" s="21"/>
      <c r="G21" s="22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157"/>
      <c r="V21" s="22"/>
      <c r="W21" s="22"/>
      <c r="X21" s="22"/>
      <c r="Y21" s="22"/>
      <c r="Z21" s="22"/>
      <c r="AA21" s="22"/>
      <c r="AB21" s="30"/>
      <c r="AC21" s="30"/>
    </row>
    <row r="22" spans="1:29" ht="15.75" customHeight="1">
      <c r="A22" s="304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6"/>
      <c r="V22" s="85"/>
      <c r="W22" s="85"/>
      <c r="X22" s="22"/>
      <c r="Y22" s="22"/>
      <c r="Z22" s="22"/>
      <c r="AA22" s="22"/>
      <c r="AB22" s="30"/>
      <c r="AC22" s="30"/>
    </row>
    <row r="23" spans="1:29" s="83" customFormat="1" ht="15.75" customHeight="1">
      <c r="A23" s="158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159"/>
      <c r="V23" s="85"/>
      <c r="W23" s="85"/>
      <c r="X23" s="22"/>
      <c r="Y23" s="22"/>
      <c r="Z23" s="22"/>
      <c r="AA23" s="22"/>
      <c r="AB23" s="30"/>
      <c r="AC23" s="30"/>
    </row>
    <row r="24" spans="1:29" s="83" customFormat="1" ht="15.75" customHeight="1">
      <c r="A24" s="15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159"/>
      <c r="V24" s="85"/>
      <c r="W24" s="85"/>
      <c r="X24" s="22"/>
      <c r="Y24" s="22"/>
      <c r="Z24" s="22"/>
      <c r="AA24" s="22"/>
      <c r="AB24" s="30"/>
      <c r="AC24" s="30"/>
    </row>
    <row r="25" spans="1:29" s="83" customFormat="1" ht="15.75" customHeight="1">
      <c r="A25" s="158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159"/>
      <c r="V25" s="85"/>
      <c r="W25" s="85"/>
      <c r="X25" s="22"/>
      <c r="Y25" s="22"/>
      <c r="Z25" s="22"/>
      <c r="AA25" s="22"/>
      <c r="AB25" s="30"/>
      <c r="AC25" s="30"/>
    </row>
    <row r="26" spans="1:29" s="83" customFormat="1" ht="15.75" customHeight="1">
      <c r="A26" s="15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159"/>
      <c r="V26" s="85"/>
      <c r="W26" s="85"/>
      <c r="X26" s="22"/>
      <c r="Y26" s="22"/>
      <c r="Z26" s="22"/>
      <c r="AA26" s="22"/>
      <c r="AB26" s="30"/>
      <c r="AC26" s="30"/>
    </row>
    <row r="27" spans="1:29" s="83" customFormat="1" ht="15.75" customHeight="1">
      <c r="A27" s="15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159"/>
      <c r="V27" s="85"/>
      <c r="W27" s="85"/>
      <c r="X27" s="22"/>
      <c r="Y27" s="22"/>
      <c r="Z27" s="22"/>
      <c r="AA27" s="22"/>
      <c r="AB27" s="30"/>
      <c r="AC27" s="30"/>
    </row>
    <row r="28" spans="1:29" s="83" customFormat="1" ht="15.75" customHeight="1">
      <c r="A28" s="15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159"/>
      <c r="V28" s="85"/>
      <c r="W28" s="85"/>
      <c r="X28" s="22"/>
      <c r="Y28" s="22"/>
      <c r="Z28" s="22"/>
      <c r="AA28" s="22"/>
      <c r="AB28" s="30"/>
      <c r="AC28" s="30"/>
    </row>
    <row r="29" spans="1:29" s="83" customFormat="1" ht="15.75" customHeight="1">
      <c r="A29" s="15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159"/>
      <c r="V29" s="85"/>
      <c r="W29" s="85"/>
      <c r="X29" s="22"/>
      <c r="Y29" s="22"/>
      <c r="Z29" s="22"/>
      <c r="AA29" s="22"/>
      <c r="AB29" s="30"/>
      <c r="AC29" s="30"/>
    </row>
    <row r="30" spans="1:29" s="83" customFormat="1" ht="15.75" customHeight="1">
      <c r="A30" s="158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159"/>
      <c r="V30" s="85"/>
      <c r="W30" s="85"/>
      <c r="X30" s="22"/>
      <c r="Y30" s="22"/>
      <c r="Z30" s="22"/>
      <c r="AA30" s="22"/>
      <c r="AB30" s="30"/>
      <c r="AC30" s="30"/>
    </row>
    <row r="31" spans="1:29" ht="15.75" customHeight="1">
      <c r="A31" s="156"/>
      <c r="B31" s="46"/>
      <c r="C31" s="46"/>
      <c r="D31" s="49"/>
      <c r="E31" s="48"/>
      <c r="F31" s="23"/>
      <c r="G31" s="31"/>
      <c r="H31" s="23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60"/>
      <c r="V31" s="31"/>
      <c r="W31" s="31"/>
      <c r="X31" s="22"/>
      <c r="Y31" s="22"/>
      <c r="Z31" s="22"/>
      <c r="AA31" s="22"/>
      <c r="AB31" s="30"/>
      <c r="AC31" s="30"/>
    </row>
    <row r="32" spans="1:29" ht="15.75" customHeight="1">
      <c r="A32" s="156"/>
      <c r="B32" s="46"/>
      <c r="C32" s="46"/>
      <c r="D32" s="49"/>
      <c r="E32" s="48"/>
      <c r="F32" s="23"/>
      <c r="G32" s="31"/>
      <c r="H32" s="183"/>
      <c r="I32" s="183"/>
      <c r="J32" s="183"/>
      <c r="K32" s="183"/>
      <c r="L32" s="161"/>
      <c r="M32" s="161"/>
      <c r="N32" s="161"/>
      <c r="O32" s="161"/>
      <c r="P32" s="161"/>
      <c r="Q32" s="161"/>
      <c r="R32" s="161"/>
      <c r="S32" s="161"/>
      <c r="T32" s="31"/>
      <c r="U32" s="160"/>
      <c r="V32" s="31"/>
      <c r="W32" s="31"/>
      <c r="X32" s="22"/>
      <c r="Y32" s="22"/>
      <c r="Z32" s="22"/>
      <c r="AA32" s="22"/>
      <c r="AB32" s="30"/>
      <c r="AC32" s="30"/>
    </row>
    <row r="33" spans="1:29" ht="15">
      <c r="A33" s="162"/>
      <c r="B33" s="50"/>
      <c r="C33" s="50"/>
      <c r="D33" s="50"/>
      <c r="E33" s="50"/>
      <c r="F33" s="50"/>
      <c r="G33" s="184"/>
      <c r="H33" s="184"/>
      <c r="I33" s="184"/>
      <c r="J33" s="184"/>
      <c r="K33" s="184"/>
      <c r="L33" s="50"/>
      <c r="M33" s="50"/>
      <c r="N33" s="50"/>
      <c r="O33" s="50"/>
      <c r="P33" s="50"/>
      <c r="Q33" s="50"/>
      <c r="R33" s="50"/>
      <c r="S33" s="50"/>
      <c r="T33" s="50"/>
      <c r="U33" s="163"/>
      <c r="V33" s="31"/>
      <c r="W33" s="31"/>
      <c r="X33" s="22"/>
      <c r="Y33" s="22"/>
      <c r="Z33" s="282"/>
      <c r="AA33" s="282"/>
      <c r="AB33" s="282"/>
      <c r="AC33" s="30"/>
    </row>
    <row r="34" spans="1:29" ht="15">
      <c r="A34" s="162"/>
      <c r="B34" s="50"/>
      <c r="C34" s="50"/>
      <c r="D34" s="50"/>
      <c r="E34" s="50"/>
      <c r="F34" s="50"/>
      <c r="G34" s="184"/>
      <c r="H34" s="184"/>
      <c r="I34" s="184"/>
      <c r="J34" s="184"/>
      <c r="K34" s="184"/>
      <c r="L34" s="50"/>
      <c r="M34" s="50"/>
      <c r="N34" s="50"/>
      <c r="O34" s="50"/>
      <c r="P34" s="50"/>
      <c r="Q34" s="50"/>
      <c r="R34" s="50"/>
      <c r="S34" s="50"/>
      <c r="T34" s="50"/>
      <c r="U34" s="163"/>
      <c r="V34" s="31"/>
      <c r="W34" s="31"/>
      <c r="X34" s="22"/>
      <c r="Y34" s="22"/>
      <c r="Z34" s="282"/>
      <c r="AA34" s="282"/>
      <c r="AB34" s="282"/>
      <c r="AC34" s="30"/>
    </row>
    <row r="35" spans="1:29" ht="15">
      <c r="A35" s="156"/>
      <c r="B35" s="46"/>
      <c r="C35" s="50"/>
      <c r="D35" s="50"/>
      <c r="E35" s="50"/>
      <c r="F35" s="23"/>
      <c r="G35" s="31"/>
      <c r="H35" s="23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160"/>
      <c r="V35" s="31"/>
      <c r="W35" s="31"/>
      <c r="X35" s="22"/>
      <c r="Y35" s="22"/>
      <c r="Z35" s="22"/>
      <c r="AA35" s="22"/>
      <c r="AB35" s="30"/>
      <c r="AC35" s="30"/>
    </row>
    <row r="36" spans="1:29" s="83" customFormat="1" ht="15">
      <c r="A36" s="156"/>
      <c r="B36" s="46"/>
      <c r="C36" s="50"/>
      <c r="D36" s="50"/>
      <c r="E36" s="50"/>
      <c r="F36" s="23"/>
      <c r="G36" s="31"/>
      <c r="H36" s="23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160"/>
      <c r="V36" s="31"/>
      <c r="W36" s="31"/>
      <c r="X36" s="22"/>
      <c r="Y36" s="22"/>
      <c r="Z36" s="22"/>
      <c r="AA36" s="22"/>
      <c r="AB36" s="30"/>
      <c r="AC36" s="30"/>
    </row>
    <row r="37" spans="1:29" s="83" customFormat="1" ht="15">
      <c r="A37" s="156"/>
      <c r="B37" s="46"/>
      <c r="C37" s="50"/>
      <c r="D37" s="50"/>
      <c r="E37" s="50"/>
      <c r="F37" s="23"/>
      <c r="G37" s="31"/>
      <c r="H37" s="23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160"/>
      <c r="V37" s="31"/>
      <c r="W37" s="31"/>
      <c r="X37" s="22"/>
      <c r="Y37" s="22"/>
      <c r="Z37" s="22"/>
      <c r="AA37" s="22"/>
      <c r="AB37" s="30"/>
      <c r="AC37" s="30"/>
    </row>
    <row r="38" spans="1:29" s="83" customFormat="1" ht="15">
      <c r="A38" s="156"/>
      <c r="B38" s="46"/>
      <c r="C38" s="50"/>
      <c r="D38" s="50"/>
      <c r="E38" s="50"/>
      <c r="F38" s="23"/>
      <c r="G38" s="31"/>
      <c r="H38" s="23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160"/>
      <c r="V38" s="31"/>
      <c r="W38" s="31"/>
      <c r="X38" s="22"/>
      <c r="Y38" s="22"/>
      <c r="Z38" s="22"/>
      <c r="AA38" s="22"/>
      <c r="AB38" s="30"/>
      <c r="AC38" s="30"/>
    </row>
    <row r="39" spans="1:29" s="83" customFormat="1" ht="15">
      <c r="A39" s="156"/>
      <c r="B39" s="46"/>
      <c r="C39" s="50"/>
      <c r="D39" s="50"/>
      <c r="E39" s="50"/>
      <c r="F39" s="23"/>
      <c r="G39" s="31"/>
      <c r="H39" s="23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60"/>
      <c r="V39" s="31"/>
      <c r="W39" s="31"/>
      <c r="X39" s="22"/>
      <c r="Y39" s="22"/>
      <c r="Z39" s="22"/>
      <c r="AA39" s="22"/>
      <c r="AB39" s="30"/>
      <c r="AC39" s="30"/>
    </row>
    <row r="40" spans="1:29" s="83" customFormat="1" ht="15">
      <c r="A40" s="281" t="s">
        <v>282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3"/>
      <c r="V40" s="31"/>
      <c r="W40" s="31"/>
      <c r="X40" s="22"/>
      <c r="Y40" s="22"/>
      <c r="Z40" s="22"/>
      <c r="AA40" s="22"/>
      <c r="AB40" s="30"/>
      <c r="AC40" s="30"/>
    </row>
    <row r="41" spans="1:29" s="83" customFormat="1" ht="15">
      <c r="A41" s="281" t="s">
        <v>283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3"/>
      <c r="V41" s="31"/>
      <c r="W41" s="31"/>
      <c r="X41" s="22"/>
      <c r="Y41" s="22"/>
      <c r="Z41" s="22"/>
      <c r="AA41" s="22"/>
      <c r="AB41" s="30"/>
      <c r="AC41" s="30"/>
    </row>
    <row r="42" spans="1:29" s="83" customFormat="1" ht="15">
      <c r="A42" s="156"/>
      <c r="B42" s="46"/>
      <c r="C42" s="50"/>
      <c r="D42" s="50"/>
      <c r="E42" s="50"/>
      <c r="F42" s="23"/>
      <c r="G42" s="31"/>
      <c r="H42" s="23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160"/>
      <c r="V42" s="31"/>
      <c r="W42" s="31"/>
      <c r="X42" s="22"/>
      <c r="Y42" s="22"/>
      <c r="Z42" s="22"/>
      <c r="AA42" s="22"/>
      <c r="AB42" s="30"/>
      <c r="AC42" s="30"/>
    </row>
    <row r="43" spans="1:29" s="83" customFormat="1" ht="15">
      <c r="A43" s="156"/>
      <c r="B43" s="46"/>
      <c r="C43" s="50"/>
      <c r="D43" s="50"/>
      <c r="E43" s="50"/>
      <c r="F43" s="23"/>
      <c r="G43" s="31"/>
      <c r="H43" s="23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160"/>
      <c r="V43" s="31"/>
      <c r="W43" s="31"/>
      <c r="X43" s="22"/>
      <c r="Y43" s="22"/>
      <c r="Z43" s="22"/>
      <c r="AA43" s="22"/>
      <c r="AB43" s="30"/>
      <c r="AC43" s="30"/>
    </row>
    <row r="44" spans="1:29" s="83" customFormat="1" ht="15">
      <c r="A44" s="156"/>
      <c r="B44" s="46"/>
      <c r="C44" s="50"/>
      <c r="D44" s="50"/>
      <c r="E44" s="50"/>
      <c r="F44" s="23"/>
      <c r="G44" s="31"/>
      <c r="H44" s="23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160"/>
      <c r="V44" s="31"/>
      <c r="W44" s="31"/>
      <c r="X44" s="22"/>
      <c r="Y44" s="22"/>
      <c r="Z44" s="22"/>
      <c r="AA44" s="22"/>
      <c r="AB44" s="30"/>
      <c r="AC44" s="30"/>
    </row>
    <row r="45" spans="1:29" s="83" customFormat="1" ht="15">
      <c r="A45" s="156"/>
      <c r="B45" s="46"/>
      <c r="C45" s="50"/>
      <c r="D45" s="50"/>
      <c r="E45" s="50"/>
      <c r="F45" s="23"/>
      <c r="G45" s="31"/>
      <c r="H45" s="23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160"/>
      <c r="V45" s="31"/>
      <c r="W45" s="31"/>
      <c r="X45" s="22"/>
      <c r="Y45" s="22"/>
      <c r="Z45" s="22"/>
      <c r="AA45" s="22"/>
      <c r="AB45" s="30"/>
      <c r="AC45" s="30"/>
    </row>
    <row r="46" spans="1:29" s="83" customFormat="1" ht="15">
      <c r="A46" s="156"/>
      <c r="B46" s="46"/>
      <c r="C46" s="50"/>
      <c r="D46" s="50"/>
      <c r="E46" s="50"/>
      <c r="F46" s="23"/>
      <c r="G46" s="31"/>
      <c r="H46" s="23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160"/>
      <c r="V46" s="31"/>
      <c r="W46" s="31"/>
      <c r="X46" s="22"/>
      <c r="Y46" s="22"/>
      <c r="Z46" s="22"/>
      <c r="AA46" s="22"/>
      <c r="AB46" s="30"/>
      <c r="AC46" s="30"/>
    </row>
    <row r="47" spans="1:29" s="83" customFormat="1" ht="15">
      <c r="A47" s="156"/>
      <c r="B47" s="46"/>
      <c r="C47" s="50"/>
      <c r="D47" s="50"/>
      <c r="E47" s="50"/>
      <c r="F47" s="23"/>
      <c r="G47" s="31"/>
      <c r="H47" s="23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160"/>
      <c r="V47" s="31"/>
      <c r="W47" s="31"/>
      <c r="X47" s="22"/>
      <c r="Y47" s="22"/>
      <c r="Z47" s="22"/>
      <c r="AA47" s="22"/>
      <c r="AB47" s="30"/>
      <c r="AC47" s="30"/>
    </row>
    <row r="48" spans="1:29" s="83" customFormat="1" ht="15">
      <c r="A48" s="156"/>
      <c r="B48" s="46"/>
      <c r="C48" s="50"/>
      <c r="D48" s="50"/>
      <c r="E48" s="50"/>
      <c r="F48" s="23"/>
      <c r="G48" s="31"/>
      <c r="H48" s="23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160"/>
      <c r="V48" s="31"/>
      <c r="W48" s="31"/>
      <c r="X48" s="22"/>
      <c r="Y48" s="22"/>
      <c r="Z48" s="22"/>
      <c r="AA48" s="22"/>
      <c r="AB48" s="30"/>
      <c r="AC48" s="30"/>
    </row>
    <row r="49" spans="1:29" s="83" customFormat="1" ht="15">
      <c r="A49" s="156"/>
      <c r="B49" s="46"/>
      <c r="C49" s="50"/>
      <c r="D49" s="50"/>
      <c r="E49" s="50"/>
      <c r="F49" s="23"/>
      <c r="G49" s="31"/>
      <c r="H49" s="23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60"/>
      <c r="V49" s="31"/>
      <c r="W49" s="31"/>
      <c r="X49" s="22"/>
      <c r="Y49" s="22"/>
      <c r="Z49" s="22"/>
      <c r="AA49" s="22"/>
      <c r="AB49" s="30"/>
      <c r="AC49" s="30"/>
    </row>
    <row r="50" spans="1:29" s="83" customFormat="1" ht="15">
      <c r="A50" s="156"/>
      <c r="B50" s="46"/>
      <c r="C50" s="50"/>
      <c r="D50" s="50"/>
      <c r="E50" s="50"/>
      <c r="F50" s="23"/>
      <c r="G50" s="31"/>
      <c r="H50" s="23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60"/>
      <c r="V50" s="31"/>
      <c r="W50" s="31"/>
      <c r="X50" s="22"/>
      <c r="Y50" s="22"/>
      <c r="Z50" s="22"/>
      <c r="AA50" s="22"/>
      <c r="AB50" s="30"/>
      <c r="AC50" s="30"/>
    </row>
    <row r="51" spans="1:29" s="83" customFormat="1" ht="15">
      <c r="A51" s="156"/>
      <c r="B51" s="46"/>
      <c r="C51" s="50"/>
      <c r="D51" s="50"/>
      <c r="E51" s="50"/>
      <c r="F51" s="23"/>
      <c r="G51" s="31"/>
      <c r="H51" s="23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60"/>
      <c r="V51" s="31"/>
      <c r="W51" s="31"/>
      <c r="X51" s="22"/>
      <c r="Y51" s="22"/>
      <c r="Z51" s="22"/>
      <c r="AA51" s="22"/>
      <c r="AB51" s="30"/>
      <c r="AC51" s="30"/>
    </row>
    <row r="52" spans="1:29" s="83" customFormat="1" ht="15">
      <c r="A52" s="156"/>
      <c r="B52" s="46"/>
      <c r="C52" s="50"/>
      <c r="D52" s="50"/>
      <c r="E52" s="50"/>
      <c r="F52" s="23"/>
      <c r="G52" s="31"/>
      <c r="H52" s="23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60"/>
      <c r="V52" s="31"/>
      <c r="W52" s="31"/>
      <c r="X52" s="22"/>
      <c r="Y52" s="22"/>
      <c r="Z52" s="22"/>
      <c r="AA52" s="22"/>
      <c r="AB52" s="30"/>
      <c r="AC52" s="30"/>
    </row>
    <row r="53" spans="1:29" ht="15">
      <c r="A53" s="156"/>
      <c r="B53" s="46"/>
      <c r="C53" s="46"/>
      <c r="D53" s="49"/>
      <c r="E53" s="48"/>
      <c r="F53" s="23"/>
      <c r="G53" s="31"/>
      <c r="H53" s="23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160"/>
      <c r="V53" s="31"/>
      <c r="W53" s="31"/>
      <c r="X53" s="22"/>
      <c r="Y53" s="22"/>
      <c r="Z53" s="22"/>
      <c r="AA53" s="22"/>
      <c r="AB53" s="30"/>
      <c r="AC53" s="30"/>
    </row>
    <row r="54" spans="1:27" ht="15">
      <c r="A54" s="156"/>
      <c r="B54" s="46"/>
      <c r="C54" s="51"/>
      <c r="D54" s="51"/>
      <c r="E54" s="51"/>
      <c r="F54" s="23"/>
      <c r="G54" s="31"/>
      <c r="H54" s="23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160"/>
      <c r="V54" s="31"/>
      <c r="W54" s="31"/>
      <c r="X54" s="24"/>
      <c r="Y54" s="24"/>
      <c r="Z54" s="24"/>
      <c r="AA54" s="24"/>
    </row>
    <row r="55" spans="1:27" ht="15">
      <c r="A55" s="156"/>
      <c r="B55" s="18"/>
      <c r="C55" s="47"/>
      <c r="D55" s="47"/>
      <c r="E55" s="47"/>
      <c r="F55" s="21"/>
      <c r="G55" s="22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157"/>
      <c r="V55" s="22"/>
      <c r="W55" s="22"/>
      <c r="X55" s="24"/>
      <c r="Y55" s="24"/>
      <c r="Z55" s="24"/>
      <c r="AA55" s="24"/>
    </row>
    <row r="56" spans="1:27" ht="16.5" thickBot="1">
      <c r="A56" s="164"/>
      <c r="B56" s="165"/>
      <c r="C56" s="165"/>
      <c r="D56" s="166"/>
      <c r="E56" s="167"/>
      <c r="F56" s="168"/>
      <c r="G56" s="169"/>
      <c r="H56" s="168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  <c r="V56" s="22"/>
      <c r="W56" s="22"/>
      <c r="X56" s="25"/>
      <c r="Y56" s="25"/>
      <c r="Z56" s="25"/>
      <c r="AA56" s="25"/>
    </row>
    <row r="57" spans="1:27" ht="15.75">
      <c r="A57" s="46"/>
      <c r="B57" s="18"/>
      <c r="C57" s="18"/>
      <c r="D57" s="19"/>
      <c r="E57" s="20"/>
      <c r="F57" s="21"/>
      <c r="G57" s="22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5"/>
      <c r="Y57" s="25"/>
      <c r="Z57" s="25"/>
      <c r="AA57" s="25"/>
    </row>
    <row r="58" spans="1:27" ht="15.75">
      <c r="A58" s="46"/>
      <c r="B58" s="18"/>
      <c r="C58" s="18"/>
      <c r="D58" s="19"/>
      <c r="E58" s="20"/>
      <c r="F58" s="21"/>
      <c r="G58" s="22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5"/>
      <c r="Y58" s="25"/>
      <c r="Z58" s="25"/>
      <c r="AA58" s="25"/>
    </row>
    <row r="59" spans="1:27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5"/>
      <c r="Y59" s="25"/>
      <c r="Z59" s="25"/>
      <c r="AA59" s="25"/>
    </row>
    <row r="60" spans="1:27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5"/>
      <c r="Y60" s="25"/>
      <c r="Z60" s="25"/>
      <c r="AA60" s="25"/>
    </row>
    <row r="61" spans="1:27" ht="15">
      <c r="A61" s="25"/>
      <c r="B61" s="25"/>
      <c r="C61" s="25"/>
      <c r="D61" s="25"/>
      <c r="E61" s="26"/>
      <c r="F61" s="27"/>
      <c r="G61" s="25"/>
      <c r="H61" s="27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5">
      <c r="A62" s="25"/>
      <c r="B62" s="25"/>
      <c r="C62" s="25"/>
      <c r="D62" s="25"/>
      <c r="E62" s="26"/>
      <c r="F62" s="27"/>
      <c r="G62" s="25"/>
      <c r="H62" s="27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5">
      <c r="A63" s="25"/>
      <c r="B63" s="25"/>
      <c r="C63" s="25"/>
      <c r="D63" s="25"/>
      <c r="E63" s="26"/>
      <c r="F63" s="28"/>
      <c r="G63" s="25"/>
      <c r="H63" s="28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5">
      <c r="A64" s="25"/>
      <c r="B64" s="25"/>
      <c r="C64" s="25"/>
      <c r="D64" s="25"/>
      <c r="E64" s="26"/>
      <c r="F64" s="28"/>
      <c r="G64" s="25"/>
      <c r="H64" s="28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5">
      <c r="A65" s="25"/>
      <c r="B65" s="25"/>
      <c r="C65" s="25"/>
      <c r="D65" s="25"/>
      <c r="E65" s="26"/>
      <c r="F65" s="28"/>
      <c r="G65" s="25"/>
      <c r="H65" s="28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5">
      <c r="A66" s="25"/>
      <c r="B66" s="25"/>
      <c r="C66" s="25"/>
      <c r="D66" s="25"/>
      <c r="E66" s="26"/>
      <c r="F66" s="28"/>
      <c r="G66" s="25"/>
      <c r="H66" s="28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5">
      <c r="A67" s="25"/>
      <c r="B67" s="25"/>
      <c r="C67" s="25"/>
      <c r="D67" s="16"/>
      <c r="E67" s="26"/>
      <c r="F67" s="28"/>
      <c r="G67" s="25"/>
      <c r="H67" s="28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5">
      <c r="A68" s="25"/>
      <c r="B68" s="25"/>
      <c r="C68" s="25"/>
      <c r="D68" s="25"/>
      <c r="E68" s="26"/>
      <c r="F68" s="28"/>
      <c r="G68" s="25"/>
      <c r="H68" s="28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3" ht="15">
      <c r="A69" s="25"/>
      <c r="B69" s="25"/>
      <c r="C69" s="25"/>
      <c r="D69" s="25"/>
      <c r="E69" s="26"/>
      <c r="F69" s="28"/>
      <c r="G69" s="25"/>
      <c r="H69" s="28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1:23" ht="15">
      <c r="A70" s="25"/>
      <c r="B70" s="25"/>
      <c r="C70" s="25"/>
      <c r="D70" s="25"/>
      <c r="E70" s="26"/>
      <c r="F70" s="28"/>
      <c r="G70" s="25"/>
      <c r="H70" s="28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</row>
    <row r="71" spans="1:23" ht="15">
      <c r="A71" s="25"/>
      <c r="B71" s="25"/>
      <c r="C71" s="25"/>
      <c r="D71" s="25"/>
      <c r="E71" s="26"/>
      <c r="F71" s="28"/>
      <c r="G71" s="25"/>
      <c r="H71" s="28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spans="1:23" ht="15">
      <c r="A72" s="25"/>
      <c r="B72" s="25"/>
      <c r="C72" s="25"/>
      <c r="D72" s="25"/>
      <c r="E72" s="26"/>
      <c r="F72" s="28"/>
      <c r="G72" s="25"/>
      <c r="H72" s="28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ht="15">
      <c r="A73" s="25"/>
      <c r="B73" s="25"/>
      <c r="C73" s="25"/>
      <c r="D73" s="25"/>
      <c r="E73" s="26"/>
      <c r="F73" s="28"/>
      <c r="G73" s="25"/>
      <c r="H73" s="28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</sheetData>
  <sheetProtection/>
  <mergeCells count="130">
    <mergeCell ref="R14:S14"/>
    <mergeCell ref="R8:S8"/>
    <mergeCell ref="R9:S9"/>
    <mergeCell ref="R10:S10"/>
    <mergeCell ref="R11:S11"/>
    <mergeCell ref="R12:S12"/>
    <mergeCell ref="R13:S13"/>
    <mergeCell ref="P16:Q16"/>
    <mergeCell ref="P17:Q17"/>
    <mergeCell ref="R19:S19"/>
    <mergeCell ref="R20:S20"/>
    <mergeCell ref="P20:Q20"/>
    <mergeCell ref="L16:M16"/>
    <mergeCell ref="P18:Q18"/>
    <mergeCell ref="P19:Q19"/>
    <mergeCell ref="N17:O17"/>
    <mergeCell ref="R18:S18"/>
    <mergeCell ref="P8:Q8"/>
    <mergeCell ref="P9:Q9"/>
    <mergeCell ref="P10:Q10"/>
    <mergeCell ref="P11:Q11"/>
    <mergeCell ref="P12:Q12"/>
    <mergeCell ref="P13:Q13"/>
    <mergeCell ref="P14:Q14"/>
    <mergeCell ref="N19:O19"/>
    <mergeCell ref="N20:O20"/>
    <mergeCell ref="T14:U14"/>
    <mergeCell ref="T15:U15"/>
    <mergeCell ref="T16:U16"/>
    <mergeCell ref="T19:U19"/>
    <mergeCell ref="T20:U20"/>
    <mergeCell ref="R15:S15"/>
    <mergeCell ref="R16:S16"/>
    <mergeCell ref="P15:Q15"/>
    <mergeCell ref="L19:M19"/>
    <mergeCell ref="L20:M20"/>
    <mergeCell ref="T8:U8"/>
    <mergeCell ref="T9:U9"/>
    <mergeCell ref="T10:U10"/>
    <mergeCell ref="T11:U11"/>
    <mergeCell ref="T12:U12"/>
    <mergeCell ref="T13:U13"/>
    <mergeCell ref="N16:O16"/>
    <mergeCell ref="N11:O11"/>
    <mergeCell ref="Z33:AB33"/>
    <mergeCell ref="Z34:AB34"/>
    <mergeCell ref="A4:U4"/>
    <mergeCell ref="A5:C5"/>
    <mergeCell ref="D5:E5"/>
    <mergeCell ref="F5:G5"/>
    <mergeCell ref="I5:U5"/>
    <mergeCell ref="N15:O15"/>
    <mergeCell ref="N9:O9"/>
    <mergeCell ref="N10:O10"/>
    <mergeCell ref="N12:O12"/>
    <mergeCell ref="N13:O13"/>
    <mergeCell ref="N14:O14"/>
    <mergeCell ref="H16:I16"/>
    <mergeCell ref="H19:I19"/>
    <mergeCell ref="H15:I15"/>
    <mergeCell ref="J12:K12"/>
    <mergeCell ref="J13:K13"/>
    <mergeCell ref="J14:K14"/>
    <mergeCell ref="J15:K15"/>
    <mergeCell ref="H20:I20"/>
    <mergeCell ref="J16:K16"/>
    <mergeCell ref="J19:K19"/>
    <mergeCell ref="J20:K20"/>
    <mergeCell ref="F19:G19"/>
    <mergeCell ref="F20:G20"/>
    <mergeCell ref="H9:I9"/>
    <mergeCell ref="H10:I10"/>
    <mergeCell ref="H11:I11"/>
    <mergeCell ref="H12:I12"/>
    <mergeCell ref="H13:I13"/>
    <mergeCell ref="H14:I14"/>
    <mergeCell ref="A19:C20"/>
    <mergeCell ref="B8:C8"/>
    <mergeCell ref="F9:G9"/>
    <mergeCell ref="F10:G10"/>
    <mergeCell ref="F11:G11"/>
    <mergeCell ref="F12:G12"/>
    <mergeCell ref="F13:G13"/>
    <mergeCell ref="F14:G14"/>
    <mergeCell ref="F15:G15"/>
    <mergeCell ref="F16:G16"/>
    <mergeCell ref="A15:A16"/>
    <mergeCell ref="B15:C16"/>
    <mergeCell ref="A13:A14"/>
    <mergeCell ref="A1:U1"/>
    <mergeCell ref="F8:G8"/>
    <mergeCell ref="H8:I8"/>
    <mergeCell ref="N8:O8"/>
    <mergeCell ref="B13:C14"/>
    <mergeCell ref="J8:K8"/>
    <mergeCell ref="J9:K9"/>
    <mergeCell ref="A6:C6"/>
    <mergeCell ref="D6:H6"/>
    <mergeCell ref="I6:U6"/>
    <mergeCell ref="A22:U22"/>
    <mergeCell ref="A9:A10"/>
    <mergeCell ref="B9:C10"/>
    <mergeCell ref="A11:A12"/>
    <mergeCell ref="B11:C12"/>
    <mergeCell ref="J10:K10"/>
    <mergeCell ref="J11:K11"/>
    <mergeCell ref="L14:M14"/>
    <mergeCell ref="L15:M15"/>
    <mergeCell ref="L8:M8"/>
    <mergeCell ref="L9:M9"/>
    <mergeCell ref="L10:M10"/>
    <mergeCell ref="L11:M11"/>
    <mergeCell ref="L12:M12"/>
    <mergeCell ref="L13:M13"/>
    <mergeCell ref="A17:A18"/>
    <mergeCell ref="B17:C18"/>
    <mergeCell ref="F17:G17"/>
    <mergeCell ref="H17:I17"/>
    <mergeCell ref="J17:K17"/>
    <mergeCell ref="L17:M17"/>
    <mergeCell ref="A40:U40"/>
    <mergeCell ref="A41:U41"/>
    <mergeCell ref="T17:U17"/>
    <mergeCell ref="F18:G18"/>
    <mergeCell ref="H18:I18"/>
    <mergeCell ref="J18:K18"/>
    <mergeCell ref="L18:M18"/>
    <mergeCell ref="N18:O18"/>
    <mergeCell ref="T18:U18"/>
    <mergeCell ref="R17:S17"/>
  </mergeCells>
  <printOptions horizontalCentered="1" verticalCentered="1"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56" r:id="rId2"/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demsur</cp:lastModifiedBy>
  <cp:lastPrinted>2018-05-03T13:24:08Z</cp:lastPrinted>
  <dcterms:created xsi:type="dcterms:W3CDTF">2010-08-12T17:41:11Z</dcterms:created>
  <dcterms:modified xsi:type="dcterms:W3CDTF">2018-06-04T16:54:30Z</dcterms:modified>
  <cp:category/>
  <cp:version/>
  <cp:contentType/>
  <cp:contentStatus/>
</cp:coreProperties>
</file>